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ymperi\Desktop\DT\day\1Κ-2024 ΔΕ ΔΕΛΤΙΟ\"/>
    </mc:Choice>
  </mc:AlternateContent>
  <bookViews>
    <workbookView xWindow="0" yWindow="0" windowWidth="28800" windowHeight="11835"/>
  </bookViews>
  <sheets>
    <sheet name="ΔΕ ΕΚΠΑΙΔΕΥΣΗΣ ΓΙΑ ΥΓΕΙΟΝ ΕΞΕΤ," sheetId="1" r:id="rId1"/>
  </sheets>
  <definedNames>
    <definedName name="_xlnm._FilterDatabase" localSheetId="0" hidden="1">'ΔΕ ΕΚΠΑΙΔΕΥΣΗΣ ΓΙΑ ΥΓΕΙΟΝ ΕΞΕΤ,'!$B$1:$H$2392</definedName>
  </definedNames>
  <calcPr calcId="152511"/>
</workbook>
</file>

<file path=xl/calcChain.xml><?xml version="1.0" encoding="utf-8"?>
<calcChain xmlns="http://schemas.openxmlformats.org/spreadsheetml/2006/main">
  <c r="G498" i="1" l="1"/>
  <c r="G1279" i="1"/>
  <c r="G1466" i="1"/>
  <c r="G447" i="1"/>
  <c r="G728" i="1"/>
  <c r="G891" i="1"/>
  <c r="G611" i="1"/>
  <c r="G59" i="1"/>
  <c r="G273" i="1"/>
  <c r="G1366" i="1"/>
  <c r="G666" i="1"/>
  <c r="G1019" i="1"/>
  <c r="G279" i="1"/>
  <c r="G2310" i="1"/>
  <c r="G1574" i="1"/>
  <c r="G351" i="1"/>
  <c r="G1772" i="1"/>
  <c r="G2352" i="1"/>
  <c r="G2153" i="1"/>
  <c r="G920" i="1"/>
  <c r="G142" i="1"/>
  <c r="G1294" i="1"/>
  <c r="G1532" i="1"/>
  <c r="G1906" i="1"/>
  <c r="G476" i="1"/>
  <c r="G1740" i="1"/>
  <c r="G690" i="1"/>
  <c r="G2134" i="1"/>
  <c r="G563" i="1"/>
  <c r="G1147" i="1"/>
  <c r="G1503" i="1"/>
  <c r="G1170" i="1"/>
  <c r="G583" i="1"/>
  <c r="G608" i="1"/>
  <c r="G711" i="1"/>
  <c r="G1830" i="1"/>
  <c r="G2225" i="1"/>
  <c r="G395" i="1"/>
  <c r="G2245" i="1"/>
  <c r="G635" i="1"/>
  <c r="G687" i="1"/>
  <c r="G744" i="1"/>
  <c r="G546" i="1"/>
  <c r="G1135" i="1"/>
  <c r="G1101" i="1"/>
  <c r="G1933" i="1"/>
  <c r="G232" i="1"/>
  <c r="G1727" i="1"/>
  <c r="G2075" i="1"/>
  <c r="G985" i="1"/>
  <c r="G871" i="1"/>
  <c r="G1001" i="1"/>
  <c r="G200" i="1"/>
  <c r="G1273" i="1"/>
  <c r="G872" i="1"/>
  <c r="G788" i="1"/>
  <c r="G1837" i="1"/>
  <c r="G605" i="1"/>
  <c r="G2302" i="1"/>
  <c r="G1210" i="1"/>
  <c r="G446" i="1"/>
  <c r="G1346" i="1"/>
  <c r="G212" i="1"/>
  <c r="G1634" i="1"/>
  <c r="G21" i="1"/>
  <c r="G2061" i="1"/>
  <c r="G1414" i="1"/>
  <c r="G1621" i="1"/>
  <c r="G1240" i="1"/>
  <c r="G1138" i="1"/>
  <c r="G229" i="1"/>
  <c r="G2158" i="1"/>
  <c r="G1478" i="1"/>
  <c r="G762" i="1"/>
  <c r="G2328" i="1"/>
  <c r="G1931" i="1"/>
  <c r="G2205" i="1"/>
  <c r="G807" i="1"/>
  <c r="G2010" i="1"/>
  <c r="G1816" i="1"/>
  <c r="G2214" i="1"/>
  <c r="G341" i="1"/>
  <c r="G2274" i="1"/>
  <c r="G1058" i="1"/>
  <c r="G1693" i="1"/>
  <c r="G879" i="1"/>
  <c r="G1338" i="1"/>
  <c r="G2024" i="1"/>
  <c r="G1385" i="1"/>
  <c r="G1994" i="1"/>
  <c r="G56" i="1"/>
  <c r="G1845" i="1"/>
  <c r="G2237" i="1"/>
  <c r="G112" i="1"/>
  <c r="G896" i="1"/>
  <c r="G930" i="1"/>
  <c r="G2307" i="1"/>
  <c r="G121" i="1"/>
  <c r="G116" i="1"/>
  <c r="G1789" i="1"/>
  <c r="G487" i="1"/>
  <c r="G210" i="1"/>
  <c r="G1517" i="1"/>
  <c r="G1379" i="1"/>
  <c r="G2173" i="1"/>
  <c r="G2063" i="1"/>
  <c r="G926" i="1"/>
  <c r="G1013" i="1"/>
  <c r="G191" i="1"/>
  <c r="G1577" i="1"/>
  <c r="G122" i="1"/>
  <c r="G706" i="1"/>
  <c r="G2386" i="1"/>
  <c r="G2314" i="1"/>
  <c r="G1060" i="1"/>
  <c r="G1163" i="1"/>
  <c r="G108" i="1"/>
  <c r="G75" i="1"/>
  <c r="G1218" i="1"/>
  <c r="G1230" i="1"/>
  <c r="G1928" i="1"/>
  <c r="G2082" i="1"/>
  <c r="G1000" i="1"/>
  <c r="G1207" i="1"/>
  <c r="G901" i="1"/>
  <c r="G58" i="1"/>
  <c r="G1477" i="1"/>
  <c r="G1549" i="1"/>
  <c r="G16" i="1"/>
  <c r="G2154" i="1"/>
  <c r="G323" i="1"/>
  <c r="G651" i="1"/>
  <c r="G623" i="1"/>
  <c r="G2011" i="1"/>
  <c r="G1179" i="1"/>
  <c r="G455" i="1"/>
  <c r="G442" i="1"/>
  <c r="G1321" i="1"/>
  <c r="G794" i="1"/>
  <c r="G730" i="1"/>
  <c r="G2195" i="1"/>
  <c r="G838" i="1"/>
  <c r="G1043" i="1"/>
  <c r="G1357" i="1"/>
  <c r="G1018" i="1"/>
  <c r="G946" i="1"/>
  <c r="G1305" i="1"/>
  <c r="G821" i="1"/>
  <c r="G815" i="1"/>
  <c r="G1265" i="1"/>
  <c r="G433" i="1"/>
  <c r="G1213" i="1"/>
  <c r="G600" i="1"/>
  <c r="G2174" i="1"/>
  <c r="G2278" i="1"/>
  <c r="G1416" i="1"/>
  <c r="G2170" i="1"/>
  <c r="G1552" i="1"/>
  <c r="G2299" i="1"/>
  <c r="G1494" i="1"/>
  <c r="G1941" i="1"/>
  <c r="G1107" i="1"/>
  <c r="G1695" i="1"/>
  <c r="G1856" i="1"/>
  <c r="G1536" i="1"/>
  <c r="G378" i="1"/>
  <c r="G2212" i="1"/>
  <c r="G960" i="1"/>
  <c r="G344" i="1"/>
  <c r="G1301" i="1"/>
  <c r="G2001" i="1"/>
  <c r="G2312" i="1"/>
  <c r="G890" i="1"/>
  <c r="G589" i="1"/>
  <c r="G225" i="1"/>
  <c r="G1085" i="1"/>
  <c r="G750" i="1"/>
  <c r="G2068" i="1"/>
  <c r="G188" i="1"/>
  <c r="G921" i="1"/>
  <c r="G2178" i="1"/>
  <c r="G73" i="1"/>
  <c r="G1356" i="1"/>
  <c r="G383" i="1"/>
  <c r="G109" i="1"/>
  <c r="G949" i="1"/>
  <c r="G797" i="1"/>
  <c r="G550" i="1"/>
  <c r="G1819" i="1"/>
  <c r="G478" i="1"/>
  <c r="G677" i="1"/>
  <c r="G575" i="1"/>
  <c r="G1684" i="1"/>
  <c r="G778" i="1"/>
  <c r="G634" i="1"/>
  <c r="G1114" i="1"/>
  <c r="G1752" i="1"/>
  <c r="G483" i="1"/>
  <c r="G1506" i="1"/>
  <c r="G1152" i="1"/>
  <c r="G3" i="1"/>
  <c r="G2083" i="1"/>
  <c r="G763" i="1"/>
  <c r="G2279" i="1"/>
  <c r="G1235" i="1"/>
  <c r="G892" i="1"/>
  <c r="G820" i="1"/>
  <c r="G2147" i="1"/>
  <c r="G2085" i="1"/>
  <c r="G1873" i="1"/>
  <c r="G931" i="1"/>
  <c r="G557" i="1"/>
  <c r="G2059" i="1"/>
  <c r="G510" i="1"/>
  <c r="G2344" i="1"/>
  <c r="G453" i="1"/>
  <c r="G338" i="1"/>
  <c r="G694" i="1"/>
  <c r="G223" i="1"/>
  <c r="G1744" i="1"/>
  <c r="G502" i="1"/>
  <c r="G1384" i="1"/>
  <c r="G85" i="1"/>
  <c r="G1523" i="1"/>
  <c r="G197" i="1"/>
  <c r="G2126" i="1"/>
  <c r="G799" i="1"/>
  <c r="G477" i="1"/>
  <c r="G2266" i="1"/>
  <c r="G2157" i="1"/>
  <c r="G969" i="1"/>
  <c r="G2391" i="1"/>
  <c r="G556" i="1"/>
  <c r="G6" i="1"/>
  <c r="G2164" i="1"/>
  <c r="G1902" i="1"/>
  <c r="G2364" i="1"/>
  <c r="G961" i="1"/>
  <c r="G865" i="1"/>
  <c r="G348" i="1"/>
  <c r="G365" i="1"/>
  <c r="G1480" i="1"/>
  <c r="G1261" i="1"/>
  <c r="G1750" i="1"/>
  <c r="G205" i="1"/>
  <c r="G1821" i="1"/>
  <c r="G1510" i="1"/>
  <c r="G2039" i="1"/>
  <c r="G1040" i="1"/>
  <c r="G1725" i="1"/>
  <c r="G1699" i="1"/>
  <c r="G78" i="1"/>
  <c r="G1665" i="1"/>
  <c r="G1718" i="1"/>
  <c r="G567" i="1"/>
  <c r="G1317" i="1"/>
  <c r="G201" i="1"/>
  <c r="G2071" i="1"/>
  <c r="G207" i="1"/>
  <c r="G1268" i="1"/>
  <c r="G846" i="1"/>
  <c r="G599" i="1"/>
  <c r="G1486" i="1"/>
  <c r="G1882" i="1"/>
  <c r="G2223" i="1"/>
  <c r="G1904" i="1"/>
  <c r="G1794" i="1"/>
  <c r="G606" i="1"/>
  <c r="G1188" i="1"/>
  <c r="G66" i="1"/>
  <c r="G2107" i="1"/>
  <c r="G954" i="1"/>
  <c r="G376" i="1"/>
  <c r="G669" i="1"/>
  <c r="G2155" i="1"/>
  <c r="G1801" i="1"/>
  <c r="G1086" i="1"/>
  <c r="G547" i="1"/>
  <c r="G2132" i="1"/>
  <c r="G848" i="1"/>
  <c r="G2387" i="1"/>
  <c r="G2228" i="1"/>
  <c r="G1342" i="1"/>
  <c r="G1885" i="1"/>
  <c r="G327" i="1"/>
  <c r="G661" i="1"/>
  <c r="G83" i="1"/>
  <c r="G752" i="1"/>
  <c r="G2018" i="1"/>
  <c r="G474" i="1"/>
  <c r="G1612" i="1"/>
  <c r="G1376" i="1"/>
  <c r="G1528" i="1"/>
  <c r="G1807" i="1"/>
  <c r="G290" i="1"/>
  <c r="G1340" i="1"/>
  <c r="G1396" i="1"/>
  <c r="G2338" i="1"/>
  <c r="G840" i="1"/>
  <c r="G394" i="1"/>
  <c r="G1539" i="1"/>
  <c r="G1183" i="1"/>
  <c r="G1425" i="1"/>
  <c r="G263" i="1"/>
  <c r="G875" i="1"/>
  <c r="G256" i="1"/>
  <c r="G54" i="1"/>
  <c r="G272" i="1"/>
  <c r="G2150" i="1"/>
  <c r="G2215" i="1"/>
  <c r="G640" i="1"/>
  <c r="G693" i="1"/>
  <c r="G561" i="1"/>
  <c r="G594" i="1"/>
  <c r="G1558" i="1"/>
  <c r="G923" i="1"/>
  <c r="G2221" i="1"/>
  <c r="G786" i="1"/>
  <c r="G1966" i="1"/>
  <c r="G1302" i="1"/>
  <c r="G1514" i="1"/>
  <c r="G34" i="1"/>
  <c r="G1730" i="1"/>
  <c r="G2162" i="1"/>
  <c r="G909" i="1"/>
  <c r="G571" i="1"/>
  <c r="G963" i="1"/>
  <c r="G2110" i="1"/>
  <c r="G2116" i="1"/>
  <c r="G1002" i="1"/>
  <c r="G835" i="1"/>
  <c r="G454" i="1"/>
  <c r="G1571" i="1"/>
  <c r="G463" i="1"/>
  <c r="G1650" i="1"/>
  <c r="G1806" i="1"/>
  <c r="G2230" i="1"/>
  <c r="G459" i="1"/>
  <c r="G1843" i="1"/>
  <c r="G426" i="1"/>
  <c r="G1061" i="1"/>
  <c r="G506" i="1"/>
  <c r="G2296" i="1"/>
  <c r="G1974" i="1"/>
  <c r="G662" i="1"/>
  <c r="G1913" i="1"/>
  <c r="G1712" i="1"/>
  <c r="G531" i="1"/>
  <c r="G585" i="1"/>
  <c r="G1746" i="1"/>
  <c r="G1468" i="1"/>
  <c r="G384" i="1"/>
  <c r="G414" i="1"/>
  <c r="G1122" i="1"/>
  <c r="G1792" i="1"/>
  <c r="G2390" i="1"/>
  <c r="G1180" i="1"/>
  <c r="G2357" i="1"/>
  <c r="G2171" i="1"/>
  <c r="G2111" i="1"/>
  <c r="G918" i="1"/>
  <c r="G2025" i="1"/>
  <c r="G1854" i="1"/>
  <c r="G105" i="1"/>
  <c r="G301" i="1"/>
  <c r="G1476" i="1"/>
  <c r="G2089" i="1"/>
  <c r="G566" i="1"/>
  <c r="G644" i="1"/>
  <c r="G722" i="1"/>
  <c r="G486" i="1"/>
  <c r="G1638" i="1"/>
  <c r="G1159" i="1"/>
  <c r="G1254" i="1"/>
  <c r="G1420" i="1"/>
  <c r="G1371" i="1"/>
  <c r="G1844" i="1"/>
  <c r="G1351" i="1"/>
  <c r="G238" i="1"/>
  <c r="G1011" i="1"/>
  <c r="G981" i="1"/>
  <c r="G398" i="1"/>
  <c r="G740" i="1"/>
  <c r="G404" i="1"/>
  <c r="G1872" i="1"/>
  <c r="G1264" i="1"/>
  <c r="G1739" i="1"/>
  <c r="G2038" i="1"/>
  <c r="G893" i="1"/>
  <c r="G1195" i="1"/>
  <c r="G218" i="1"/>
  <c r="G1249" i="1"/>
  <c r="G2166" i="1"/>
  <c r="G1393" i="1"/>
  <c r="G136" i="1"/>
  <c r="G1719" i="1"/>
  <c r="G44" i="1"/>
  <c r="G33" i="1"/>
  <c r="G991" i="1"/>
  <c r="G1407" i="1"/>
  <c r="G1377" i="1"/>
  <c r="G1217" i="1"/>
  <c r="G1311" i="1"/>
  <c r="G231" i="1"/>
  <c r="G69" i="1"/>
  <c r="G1960" i="1"/>
  <c r="G1541" i="1"/>
  <c r="G1292" i="1"/>
  <c r="G1399" i="1"/>
  <c r="G1997" i="1"/>
  <c r="G1859" i="1"/>
  <c r="G239" i="1"/>
  <c r="G309" i="1"/>
  <c r="G2049" i="1"/>
  <c r="G32" i="1"/>
  <c r="G591" i="1"/>
  <c r="G1462" i="1"/>
  <c r="G913" i="1"/>
  <c r="G1763" i="1"/>
  <c r="G1916" i="1"/>
  <c r="G1614" i="1"/>
  <c r="G1359" i="1"/>
  <c r="G1905" i="1"/>
  <c r="G345" i="1"/>
  <c r="G334" i="1"/>
  <c r="G904" i="1"/>
  <c r="G1187" i="1"/>
  <c r="G1609" i="1"/>
  <c r="G628" i="1"/>
  <c r="G1203" i="1"/>
  <c r="G994" i="1"/>
  <c r="G1128" i="1"/>
  <c r="G82" i="1"/>
  <c r="G2015" i="1"/>
  <c r="G1071" i="1"/>
  <c r="G1660" i="1"/>
  <c r="G1705" i="1"/>
  <c r="G173" i="1"/>
  <c r="G2217" i="1"/>
  <c r="G2040" i="1"/>
  <c r="G1737" i="1"/>
  <c r="G1320" i="1"/>
  <c r="G45" i="1"/>
  <c r="G37" i="1"/>
  <c r="G458" i="1"/>
  <c r="G906" i="1"/>
  <c r="G2048" i="1"/>
  <c r="G2141" i="1"/>
  <c r="G1729" i="1"/>
  <c r="G2144" i="1"/>
  <c r="G1924" i="1"/>
  <c r="G1604" i="1"/>
  <c r="G774" i="1"/>
  <c r="G1553" i="1"/>
  <c r="G2342" i="1"/>
  <c r="G1365" i="1"/>
  <c r="G1496" i="1"/>
  <c r="G2324" i="1"/>
  <c r="G1322" i="1"/>
  <c r="G298" i="1"/>
  <c r="G2149" i="1"/>
  <c r="G1242" i="1"/>
  <c r="G2190" i="1"/>
  <c r="G2351" i="1"/>
  <c r="G523" i="1"/>
  <c r="G1958" i="1"/>
  <c r="G1415" i="1"/>
  <c r="G1620" i="1"/>
  <c r="G1328" i="1"/>
  <c r="G1883" i="1"/>
  <c r="G2202" i="1"/>
  <c r="G283" i="1"/>
  <c r="G1246" i="1"/>
  <c r="G179" i="1"/>
  <c r="G2203" i="1"/>
  <c r="G1572" i="1"/>
  <c r="G89" i="1"/>
  <c r="G1623" i="1"/>
  <c r="G1670" i="1"/>
  <c r="G2101" i="1"/>
  <c r="G1615" i="1"/>
  <c r="G156" i="1"/>
  <c r="G219" i="1"/>
  <c r="G1007" i="1"/>
  <c r="G2012" i="1"/>
  <c r="G1391" i="1"/>
  <c r="G1029" i="1"/>
  <c r="G739" i="1"/>
  <c r="G1448" i="1"/>
  <c r="G1234" i="1"/>
  <c r="G2080" i="1"/>
  <c r="G438" i="1"/>
  <c r="G808" i="1"/>
  <c r="G847" i="1"/>
  <c r="G439" i="1"/>
  <c r="G1227" i="1"/>
  <c r="G2336" i="1"/>
  <c r="G1375" i="1"/>
  <c r="G1664" i="1"/>
  <c r="G113" i="1"/>
  <c r="G2130" i="1"/>
  <c r="G1896" i="1"/>
  <c r="G2184" i="1"/>
  <c r="G1599" i="1"/>
  <c r="G776" i="1"/>
  <c r="G331" i="1"/>
  <c r="G1241" i="1"/>
  <c r="G1602" i="1"/>
  <c r="G1042" i="1"/>
  <c r="G2370" i="1"/>
  <c r="G1946" i="1"/>
  <c r="G1257" i="1"/>
  <c r="G2099" i="1"/>
  <c r="G397" i="1"/>
  <c r="G983" i="1"/>
  <c r="G68" i="1"/>
  <c r="G403" i="1"/>
  <c r="G2381" i="1"/>
  <c r="G27" i="1"/>
  <c r="G2356" i="1"/>
  <c r="G551" i="1"/>
  <c r="G1404" i="1"/>
  <c r="G471" i="1"/>
  <c r="G2044" i="1"/>
  <c r="G1573" i="1"/>
  <c r="G2372" i="1"/>
  <c r="G2194" i="1"/>
  <c r="G2143" i="1"/>
  <c r="G549" i="1"/>
  <c r="G76" i="1"/>
  <c r="G1455" i="1"/>
  <c r="G1839" i="1"/>
  <c r="G2210" i="1"/>
  <c r="G1972" i="1"/>
  <c r="G1168" i="1"/>
  <c r="G636" i="1"/>
  <c r="G508" i="1"/>
  <c r="G2168" i="1"/>
  <c r="G2227" i="1"/>
  <c r="G1012" i="1"/>
  <c r="G989" i="1"/>
  <c r="G607" i="1"/>
  <c r="G2232" i="1"/>
  <c r="G1522" i="1"/>
  <c r="G2269" i="1"/>
  <c r="G1642" i="1"/>
  <c r="G624" i="1"/>
  <c r="G165" i="1"/>
  <c r="G1920" i="1"/>
  <c r="G19" i="1"/>
  <c r="G1475" i="1"/>
  <c r="G708" i="1"/>
  <c r="G1759" i="1"/>
  <c r="G1034" i="1"/>
  <c r="G977" i="1"/>
  <c r="G895" i="1"/>
  <c r="G1190" i="1"/>
  <c r="G358" i="1"/>
  <c r="G1914" i="1"/>
  <c r="G2161" i="1"/>
  <c r="G339" i="1"/>
  <c r="G1084" i="1"/>
  <c r="G259" i="1"/>
  <c r="G1369" i="1"/>
  <c r="G319" i="1"/>
  <c r="G868" i="1"/>
  <c r="G795" i="1"/>
  <c r="G610" i="1"/>
  <c r="G440" i="1"/>
  <c r="G1702" i="1"/>
  <c r="G2236" i="1"/>
  <c r="G2256" i="1"/>
  <c r="G780" i="1"/>
  <c r="G1551" i="1"/>
  <c r="G277" i="1"/>
  <c r="G620" i="1"/>
  <c r="G2022" i="1"/>
  <c r="G1975" i="1"/>
  <c r="G641" i="1"/>
  <c r="G2054" i="1"/>
  <c r="G1715" i="1"/>
  <c r="G1280" i="1"/>
  <c r="G1681" i="1"/>
  <c r="G1921" i="1"/>
  <c r="G2340" i="1"/>
  <c r="G202" i="1"/>
  <c r="G55" i="1"/>
  <c r="G1154" i="1"/>
  <c r="G742" i="1"/>
  <c r="G1787" i="1"/>
  <c r="G1314" i="1"/>
  <c r="G1343" i="1"/>
  <c r="G1021" i="1"/>
  <c r="G737" i="1"/>
  <c r="G582" i="1"/>
  <c r="G467" i="1"/>
  <c r="G1417" i="1"/>
  <c r="G519" i="1"/>
  <c r="G150" i="1"/>
  <c r="G1421" i="1"/>
  <c r="G1877" i="1"/>
  <c r="G2242" i="1"/>
  <c r="G1285" i="1"/>
  <c r="G1490" i="1"/>
  <c r="G2337" i="1"/>
  <c r="G725" i="1"/>
  <c r="G1668" i="1"/>
  <c r="G126" i="1"/>
  <c r="G2136" i="1"/>
  <c r="G866" i="1"/>
  <c r="G1888" i="1"/>
  <c r="G885" i="1"/>
  <c r="G707" i="1"/>
  <c r="G1925" i="1"/>
  <c r="G1556" i="1"/>
  <c r="G29" i="1"/>
  <c r="G958" i="1"/>
  <c r="G1799" i="1"/>
  <c r="G927" i="1"/>
  <c r="G1252" i="1"/>
  <c r="G1647" i="1"/>
  <c r="G102" i="1"/>
  <c r="G552" i="1"/>
  <c r="G2026" i="1"/>
  <c r="G558" i="1"/>
  <c r="G806" i="1"/>
  <c r="G180" i="1"/>
  <c r="G1272" i="1"/>
  <c r="G124" i="1"/>
  <c r="G1472" i="1"/>
  <c r="G1130" i="1"/>
  <c r="G1423" i="1"/>
  <c r="G2047" i="1"/>
  <c r="G211" i="1"/>
  <c r="G1868" i="1"/>
  <c r="G673" i="1"/>
  <c r="G2267" i="1"/>
  <c r="G2366" i="1"/>
  <c r="G970" i="1"/>
  <c r="G125" i="1"/>
  <c r="G1508" i="1"/>
  <c r="G1515" i="1"/>
  <c r="G1017" i="1"/>
  <c r="G1405" i="1"/>
  <c r="G2295" i="1"/>
  <c r="G2234" i="1"/>
  <c r="G2193" i="1"/>
  <c r="G333" i="1"/>
  <c r="G1064" i="1"/>
  <c r="G360" i="1"/>
  <c r="G312" i="1"/>
  <c r="G1953" i="1"/>
  <c r="G2138" i="1"/>
  <c r="G491" i="1"/>
  <c r="G526" i="1"/>
  <c r="G671" i="1"/>
  <c r="G632" i="1"/>
  <c r="G858" i="1"/>
  <c r="G733" i="1"/>
  <c r="G2053" i="1"/>
  <c r="G2128" i="1"/>
  <c r="G2087" i="1"/>
  <c r="G1450" i="1"/>
  <c r="G827" i="1"/>
  <c r="G650" i="1"/>
  <c r="G894" i="1"/>
  <c r="G1454" i="1"/>
  <c r="G2317" i="1"/>
  <c r="G2216" i="1"/>
  <c r="G1937" i="1"/>
  <c r="G1707" i="1"/>
  <c r="G1177" i="1"/>
  <c r="G1209" i="1"/>
  <c r="G2304" i="1"/>
  <c r="G805" i="1"/>
  <c r="G626" i="1"/>
  <c r="G1327" i="1"/>
  <c r="G936" i="1"/>
  <c r="G278" i="1"/>
  <c r="G1370" i="1"/>
  <c r="G1981" i="1"/>
  <c r="G2322" i="1"/>
  <c r="G1431" i="1"/>
  <c r="G163" i="1"/>
  <c r="G764" i="1"/>
  <c r="G555" i="1"/>
  <c r="G1655" i="1"/>
  <c r="G1840" i="1"/>
  <c r="G826" i="1"/>
  <c r="G675" i="1"/>
  <c r="G321" i="1"/>
  <c r="G41" i="1"/>
  <c r="G2185" i="1"/>
  <c r="G1909" i="1"/>
  <c r="G2378" i="1"/>
  <c r="G1534" i="1"/>
  <c r="G1457" i="1"/>
  <c r="G1857" i="1"/>
  <c r="G2056" i="1"/>
  <c r="G1570" i="1"/>
  <c r="G751" i="1"/>
  <c r="G1548" i="1"/>
  <c r="G1579" i="1"/>
  <c r="G419" i="1"/>
  <c r="G621" i="1"/>
  <c r="G222" i="1"/>
  <c r="G363" i="1"/>
  <c r="G129" i="1"/>
  <c r="G371" i="1"/>
  <c r="G1461" i="1"/>
  <c r="G828" i="1"/>
  <c r="G860" i="1"/>
  <c r="G410" i="1"/>
  <c r="G721" i="1"/>
  <c r="G1624" i="1"/>
  <c r="G1349" i="1"/>
  <c r="G845" i="1"/>
  <c r="G2268" i="1"/>
  <c r="G562" i="1"/>
  <c r="G306" i="1"/>
  <c r="G2276" i="1"/>
  <c r="G682" i="1"/>
  <c r="G441" i="1"/>
  <c r="G157" i="1"/>
  <c r="G107" i="1"/>
  <c r="G2113" i="1"/>
  <c r="G295" i="1"/>
  <c r="G15" i="1"/>
  <c r="G158" i="1"/>
  <c r="G1408" i="1"/>
  <c r="G1988" i="1"/>
  <c r="G1410" i="1"/>
  <c r="G185" i="1"/>
  <c r="G1722" i="1"/>
  <c r="G2073" i="1"/>
  <c r="G565" i="1"/>
  <c r="G2369" i="1"/>
  <c r="G1438" i="1"/>
  <c r="G760" i="1"/>
  <c r="G2031" i="1"/>
  <c r="G1489" i="1"/>
  <c r="G882" i="1"/>
  <c r="G1893" i="1"/>
  <c r="G1855" i="1"/>
  <c r="G1191" i="1"/>
  <c r="G712" i="1"/>
  <c r="G1435" i="1"/>
  <c r="G2335" i="1"/>
  <c r="G1743" i="1"/>
  <c r="G1630" i="1"/>
  <c r="G1880" i="1"/>
  <c r="G524" i="1"/>
  <c r="G2249" i="1"/>
  <c r="G649" i="1"/>
  <c r="G683" i="1"/>
  <c r="G1764" i="1"/>
  <c r="G2131" i="1"/>
  <c r="G2264" i="1"/>
  <c r="G1125" i="1"/>
  <c r="G172" i="1"/>
  <c r="G995" i="1"/>
  <c r="G573" i="1"/>
  <c r="G2081" i="1"/>
  <c r="G648" i="1"/>
  <c r="G1189" i="1"/>
  <c r="G1952" i="1"/>
  <c r="G1582" i="1"/>
  <c r="G1437" i="1"/>
  <c r="G542" i="1"/>
  <c r="G469" i="1"/>
  <c r="G2354" i="1"/>
  <c r="G1970" i="1"/>
  <c r="G861" i="1"/>
  <c r="G1282" i="1"/>
  <c r="G743" i="1"/>
  <c r="G2363" i="1"/>
  <c r="G402" i="1"/>
  <c r="G824" i="1"/>
  <c r="G2294" i="1"/>
  <c r="G380" i="1"/>
  <c r="G2389" i="1"/>
  <c r="G147" i="1"/>
  <c r="G241" i="1"/>
  <c r="G1142" i="1"/>
  <c r="G2051" i="1"/>
  <c r="G216" i="1"/>
  <c r="G427" i="1"/>
  <c r="G267" i="1"/>
  <c r="G1453" i="1"/>
  <c r="G543" i="1"/>
  <c r="G1688" i="1"/>
  <c r="G1124" i="1"/>
  <c r="G1657" i="1"/>
  <c r="G843" i="1"/>
  <c r="G2013" i="1"/>
  <c r="G2327" i="1"/>
  <c r="G971" i="1"/>
  <c r="G1817" i="1"/>
  <c r="G1358" i="1"/>
  <c r="G1063" i="1"/>
  <c r="G1474" i="1"/>
  <c r="G227" i="1"/>
  <c r="G619" i="1"/>
  <c r="G1102" i="1"/>
  <c r="G2077" i="1"/>
  <c r="G1004" i="1"/>
  <c r="G203" i="1"/>
  <c r="G777" i="1"/>
  <c r="G789" i="1"/>
  <c r="G1068" i="1"/>
  <c r="G564" i="1"/>
  <c r="G198" i="1"/>
  <c r="G569" i="1"/>
  <c r="G1026" i="1"/>
  <c r="G100" i="1"/>
  <c r="G209" i="1"/>
  <c r="G317" i="1"/>
  <c r="G1434" i="1"/>
  <c r="G1645" i="1"/>
  <c r="G1361" i="1"/>
  <c r="G1818" i="1"/>
  <c r="G86" i="1"/>
  <c r="G509" i="1"/>
  <c r="G1863" i="1"/>
  <c r="G1090" i="1"/>
  <c r="G2350" i="1"/>
  <c r="G1939" i="1"/>
  <c r="G1155" i="1"/>
  <c r="G1381" i="1"/>
  <c r="G285" i="1"/>
  <c r="G1062" i="1"/>
  <c r="G2329" i="1"/>
  <c r="G1266" i="1"/>
  <c r="G275" i="1"/>
  <c r="G2119" i="1"/>
  <c r="G320" i="1"/>
  <c r="G910" i="1"/>
  <c r="G501" i="1"/>
  <c r="G2034" i="1"/>
  <c r="G1692" i="1"/>
  <c r="G2084" i="1"/>
  <c r="G1761" i="1"/>
  <c r="G1710" i="1"/>
  <c r="G396" i="1"/>
  <c r="G525" i="1"/>
  <c r="G2035" i="1"/>
  <c r="G457" i="1"/>
  <c r="G1161" i="1"/>
  <c r="G2104" i="1"/>
  <c r="G260" i="1"/>
  <c r="G1781" i="1"/>
  <c r="G1258" i="1"/>
  <c r="G511" i="1"/>
  <c r="G1288" i="1"/>
  <c r="G1942" i="1"/>
  <c r="G2021" i="1"/>
  <c r="G1402" i="1"/>
  <c r="G1318" i="1"/>
  <c r="G2246" i="1"/>
  <c r="G1479" i="1"/>
  <c r="G1139" i="1"/>
  <c r="G2121" i="1"/>
  <c r="G559" i="1"/>
  <c r="G758" i="1"/>
  <c r="G1205" i="1"/>
  <c r="G818" i="1"/>
  <c r="G823" i="1"/>
  <c r="G297" i="1"/>
  <c r="G2139" i="1"/>
  <c r="G2318" i="1"/>
  <c r="G580" i="1"/>
  <c r="G785" i="1"/>
  <c r="G445" i="1"/>
  <c r="G2388" i="1"/>
  <c r="G335" i="1"/>
  <c r="G1186" i="1"/>
  <c r="G718" i="1"/>
  <c r="G1999" i="1"/>
  <c r="G2374" i="1"/>
  <c r="G745" i="1"/>
  <c r="G2290" i="1"/>
  <c r="G1879" i="1"/>
  <c r="G1908" i="1"/>
  <c r="G1644" i="1"/>
  <c r="G167" i="1"/>
  <c r="G1158" i="1"/>
  <c r="G1537" i="1"/>
  <c r="G1275" i="1"/>
  <c r="G316" i="1"/>
  <c r="G647" i="1"/>
  <c r="G1918" i="1"/>
  <c r="G1652" i="1"/>
  <c r="G1618" i="1"/>
  <c r="G2058" i="1"/>
  <c r="G313" i="1"/>
  <c r="G1469" i="1"/>
  <c r="G572" i="1"/>
  <c r="G1690" i="1"/>
  <c r="G617" i="1"/>
  <c r="G1554" i="1"/>
  <c r="G2226" i="1"/>
  <c r="G2096" i="1"/>
  <c r="G1078" i="1"/>
  <c r="G535" i="1"/>
  <c r="G1755" i="1"/>
  <c r="G956" i="1"/>
  <c r="G1672" i="1"/>
  <c r="G548" i="1"/>
  <c r="G1803" i="1"/>
  <c r="G1766" i="1"/>
  <c r="G1006" i="1"/>
  <c r="G773" i="1"/>
  <c r="G1546" i="1"/>
  <c r="G424" i="1"/>
  <c r="G1481" i="1"/>
  <c r="G1144" i="1"/>
  <c r="G1578" i="1"/>
  <c r="G2376" i="1"/>
  <c r="G979" i="1"/>
  <c r="G2142" i="1"/>
  <c r="G1741" i="1"/>
  <c r="G2382" i="1"/>
  <c r="G1151" i="1"/>
  <c r="G2301" i="1"/>
  <c r="G2311" i="1"/>
  <c r="G1181" i="1"/>
  <c r="G517" i="1"/>
  <c r="G967" i="1"/>
  <c r="G955" i="1"/>
  <c r="G49" i="1"/>
  <c r="G833" i="1"/>
  <c r="G761" i="1"/>
  <c r="G1244" i="1"/>
  <c r="G97" i="1"/>
  <c r="G1831" i="1"/>
  <c r="G2002" i="1"/>
  <c r="G2253" i="1"/>
  <c r="G2" i="1"/>
  <c r="G1339" i="1"/>
  <c r="G672" i="1"/>
  <c r="G2029" i="1"/>
  <c r="G783" i="1"/>
  <c r="G1409" i="1"/>
  <c r="G1810" i="1"/>
  <c r="G1525" i="1"/>
  <c r="G2027" i="1"/>
  <c r="G2254" i="1"/>
  <c r="G939" i="1"/>
  <c r="G518" i="1"/>
  <c r="G2020" i="1"/>
  <c r="G1501" i="1"/>
  <c r="G1236" i="1"/>
  <c r="G765" i="1"/>
  <c r="G1504" i="1"/>
  <c r="G160" i="1"/>
  <c r="G1500" i="1"/>
  <c r="G521" i="1"/>
  <c r="G1589" i="1"/>
  <c r="G1315" i="1"/>
  <c r="G917" i="1"/>
  <c r="G2019" i="1"/>
  <c r="G1649" i="1"/>
  <c r="G1962" i="1"/>
  <c r="G1089" i="1"/>
  <c r="G233" i="1"/>
  <c r="G856" i="1"/>
  <c r="G577" i="1"/>
  <c r="G803" i="1"/>
  <c r="G2241" i="1"/>
  <c r="G1117" i="1"/>
  <c r="G720" i="1"/>
  <c r="G588" i="1"/>
  <c r="G1892" i="1"/>
  <c r="G308" i="1"/>
  <c r="G992" i="1"/>
  <c r="G1610" i="1"/>
  <c r="G2293" i="1"/>
  <c r="G1682" i="1"/>
  <c r="G1176" i="1"/>
  <c r="G1390" i="1"/>
  <c r="G1639" i="1"/>
  <c r="G2319" i="1"/>
  <c r="G450" i="1"/>
  <c r="G630" i="1"/>
  <c r="G933" i="1"/>
  <c r="G2079" i="1"/>
  <c r="G1616" i="1"/>
  <c r="G1368" i="1"/>
  <c r="G1765" i="1"/>
  <c r="G1110" i="1"/>
  <c r="G93" i="1"/>
  <c r="G1742" i="1"/>
  <c r="G1022" i="1"/>
  <c r="G1700" i="1"/>
  <c r="G900" i="1"/>
  <c r="G855" i="1"/>
  <c r="G2118" i="1"/>
  <c r="G187" i="1"/>
  <c r="G1372" i="1"/>
  <c r="G852" i="1"/>
  <c r="F1182" i="1"/>
  <c r="G1182" i="1"/>
  <c r="G284" i="1"/>
  <c r="G240" i="1"/>
  <c r="G905" i="1"/>
  <c r="G978" i="1"/>
  <c r="G522" i="1"/>
  <c r="G1930" i="1"/>
  <c r="G2030" i="1"/>
  <c r="G659" i="1"/>
  <c r="G266" i="1"/>
  <c r="G768" i="1"/>
  <c r="G1711" i="1"/>
  <c r="G717" i="1"/>
  <c r="G2339" i="1"/>
  <c r="G612" i="1"/>
  <c r="G507" i="1"/>
  <c r="G1835" i="1"/>
  <c r="G141" i="1"/>
  <c r="G825" i="1"/>
  <c r="G1585" i="1"/>
  <c r="G305" i="1"/>
  <c r="G1492" i="1"/>
  <c r="G919" i="1"/>
  <c r="G1637" i="1"/>
  <c r="G1545" i="1"/>
  <c r="G324" i="1"/>
  <c r="G2006" i="1"/>
  <c r="G1132" i="1"/>
  <c r="G1277" i="1"/>
  <c r="G627" i="1"/>
  <c r="G1307" i="1"/>
  <c r="G1080" i="1"/>
  <c r="G944" i="1"/>
  <c r="G520" i="1"/>
  <c r="G2098" i="1"/>
  <c r="G512" i="1"/>
  <c r="G1262" i="1"/>
  <c r="G4" i="1"/>
  <c r="G303" i="1"/>
  <c r="G862" i="1"/>
  <c r="G149" i="1"/>
  <c r="G1445" i="1"/>
  <c r="G701" i="1"/>
  <c r="G1886" i="1"/>
  <c r="G1337" i="1"/>
  <c r="G286" i="1"/>
  <c r="G810" i="1"/>
  <c r="G2072" i="1"/>
  <c r="G1199" i="1"/>
  <c r="G462" i="1"/>
  <c r="G1531" i="1"/>
  <c r="G679" i="1"/>
  <c r="G1202" i="1"/>
  <c r="G1099" i="1"/>
  <c r="G2392" i="1"/>
  <c r="G596" i="1"/>
  <c r="G460" i="1"/>
  <c r="G430" i="1"/>
  <c r="G1919" i="1"/>
  <c r="G1675" i="1"/>
  <c r="G1542" i="1"/>
  <c r="G1075" i="1"/>
  <c r="G1156" i="1"/>
  <c r="G1194" i="1"/>
  <c r="G1632" i="1"/>
  <c r="G932" i="1"/>
  <c r="G1014" i="1"/>
  <c r="G1576" i="1"/>
  <c r="G982" i="1"/>
  <c r="G2206" i="1"/>
  <c r="G1024" i="1"/>
  <c r="G1679" i="1"/>
  <c r="G746" i="1"/>
  <c r="G347" i="1"/>
  <c r="G2239" i="1"/>
  <c r="G1079" i="1"/>
  <c r="G1760" i="1"/>
  <c r="G1656" i="1"/>
  <c r="G293" i="1"/>
  <c r="G53" i="1"/>
  <c r="G94" i="1"/>
  <c r="G2315" i="1"/>
  <c r="G1221" i="1"/>
  <c r="G1299" i="1"/>
  <c r="G243" i="1"/>
  <c r="G2207" i="1"/>
  <c r="G2183" i="1"/>
  <c r="G830" i="1"/>
  <c r="G2286" i="1"/>
  <c r="G1047" i="1"/>
  <c r="G934" i="1"/>
  <c r="G1167" i="1"/>
  <c r="G1153" i="1"/>
  <c r="G401" i="1"/>
  <c r="G26" i="1"/>
  <c r="G1550" i="1"/>
  <c r="G1780" i="1"/>
  <c r="G1175" i="1"/>
  <c r="G1403" i="1"/>
  <c r="G791" i="1"/>
  <c r="G280" i="1"/>
  <c r="G254" i="1"/>
  <c r="G962" i="1"/>
  <c r="G1345" i="1"/>
  <c r="G1097" i="1"/>
  <c r="G816" i="1"/>
  <c r="G1313" i="1"/>
  <c r="G330" i="1"/>
  <c r="G481" i="1"/>
  <c r="G1518" i="1"/>
  <c r="G2263" i="1"/>
  <c r="G304" i="1"/>
  <c r="G2260" i="1"/>
  <c r="G328" i="1"/>
  <c r="G1811" i="1"/>
  <c r="G1171" i="1"/>
  <c r="G133" i="1"/>
  <c r="G1332" i="1"/>
  <c r="G1903" i="1"/>
  <c r="G2070" i="1"/>
  <c r="G822" i="1"/>
  <c r="G951" i="1"/>
  <c r="G1601" i="1"/>
  <c r="G1129" i="1"/>
  <c r="G639" i="1"/>
  <c r="G2127" i="1"/>
  <c r="G166" i="1"/>
  <c r="G928" i="1"/>
  <c r="G965" i="1"/>
  <c r="G2271" i="1"/>
  <c r="G1540" i="1"/>
  <c r="G1785" i="1"/>
  <c r="G966" i="1"/>
  <c r="G1429" i="1"/>
  <c r="G2384" i="1"/>
  <c r="G1995" i="1"/>
  <c r="G336" i="1"/>
  <c r="G907" i="1"/>
  <c r="G957" i="1"/>
  <c r="G1419" i="1"/>
  <c r="G2280" i="1"/>
  <c r="G560" i="1"/>
  <c r="G2129" i="1"/>
  <c r="G1398" i="1"/>
  <c r="G1297" i="1"/>
  <c r="G1430" i="1"/>
  <c r="G237" i="1"/>
  <c r="G2055" i="1"/>
  <c r="G1250" i="1"/>
  <c r="G1530" i="1"/>
  <c r="G1519" i="1"/>
  <c r="G1467" i="1"/>
  <c r="G60" i="1"/>
  <c r="G213" i="1"/>
  <c r="G668" i="1"/>
  <c r="G2273" i="1"/>
  <c r="G1775" i="1"/>
  <c r="G91" i="1"/>
  <c r="G1192" i="1"/>
  <c r="G2358" i="1"/>
  <c r="G377" i="1"/>
  <c r="G1123" i="1"/>
  <c r="G2008" i="1"/>
  <c r="G1768" i="1"/>
  <c r="G537" i="1"/>
  <c r="G714" i="1"/>
  <c r="G544" i="1"/>
  <c r="G2074" i="1"/>
  <c r="G2292" i="1"/>
  <c r="G1025" i="1"/>
  <c r="G372" i="1"/>
  <c r="G1447" i="1"/>
  <c r="G2179" i="1"/>
  <c r="G829" i="1"/>
  <c r="G1834" i="1"/>
  <c r="G1697" i="1"/>
  <c r="G2145" i="1"/>
  <c r="G2272" i="1"/>
  <c r="G367" i="1"/>
  <c r="G1211" i="1"/>
  <c r="G1847" i="1"/>
  <c r="G1526" i="1"/>
  <c r="G435" i="1"/>
  <c r="G1613" i="1"/>
  <c r="G911" i="1"/>
  <c r="G1069" i="1"/>
  <c r="G144" i="1"/>
  <c r="G1790" i="1"/>
  <c r="G123" i="1"/>
  <c r="G1813" i="1"/>
  <c r="G998" i="1"/>
  <c r="G1392" i="1"/>
  <c r="G31" i="1"/>
  <c r="G1606" i="1"/>
  <c r="G250" i="1"/>
  <c r="G1662" i="1"/>
  <c r="G784" i="1"/>
  <c r="G1083" i="1"/>
  <c r="G656" i="1"/>
  <c r="G1463" i="1"/>
  <c r="G2060" i="1"/>
  <c r="G484" i="1"/>
  <c r="G1224" i="1"/>
  <c r="G1838" i="1"/>
  <c r="G749" i="1"/>
  <c r="G1774" i="1"/>
  <c r="G990" i="1"/>
  <c r="G532" i="1"/>
  <c r="G2125" i="1"/>
  <c r="G1030" i="1"/>
  <c r="G1605" i="1"/>
  <c r="G676" i="1"/>
  <c r="G140" i="1"/>
  <c r="G568" i="1"/>
  <c r="G1891" i="1"/>
  <c r="G1851" i="1"/>
  <c r="G1778" i="1"/>
  <c r="G1165" i="1"/>
  <c r="G399" i="1"/>
  <c r="G2306" i="1"/>
  <c r="G353" i="1"/>
  <c r="G1963" i="1"/>
  <c r="G1303" i="1"/>
  <c r="G915" i="1"/>
  <c r="G2353" i="1"/>
  <c r="G1998" i="1"/>
  <c r="G38" i="1"/>
  <c r="G947" i="1"/>
  <c r="G1935" i="1"/>
  <c r="G1306" i="1"/>
  <c r="G479" i="1"/>
  <c r="G1685" i="1"/>
  <c r="G1983" i="1"/>
  <c r="G622" i="1"/>
  <c r="G1600" i="1"/>
  <c r="G1103" i="1"/>
  <c r="G809" i="1"/>
  <c r="G1965" i="1"/>
  <c r="G1783" i="1"/>
  <c r="G1951" i="1"/>
  <c r="G1520" i="1"/>
  <c r="G408" i="1"/>
  <c r="G2231" i="1"/>
  <c r="G2204" i="1"/>
  <c r="G137" i="1"/>
  <c r="G1380" i="1"/>
  <c r="G1732" i="1"/>
  <c r="G1689" i="1"/>
  <c r="G88" i="1"/>
  <c r="G1032" i="1"/>
  <c r="G1516" i="1"/>
  <c r="G878" i="1"/>
  <c r="G680" i="1"/>
  <c r="G1256" i="1"/>
  <c r="G2243" i="1"/>
  <c r="G13" i="1"/>
  <c r="G2137" i="1"/>
  <c r="G79" i="1"/>
  <c r="G898" i="1"/>
  <c r="G199" i="1"/>
  <c r="G801" i="1"/>
  <c r="G2345" i="1"/>
  <c r="G698" i="1"/>
  <c r="G234" i="1"/>
  <c r="G1193" i="1"/>
  <c r="G945" i="1"/>
  <c r="G1938" i="1"/>
  <c r="G2297" i="1"/>
  <c r="G1596" i="1"/>
  <c r="G688" i="1"/>
  <c r="G2197" i="1"/>
  <c r="G1364" i="1"/>
  <c r="G1333" i="1"/>
  <c r="G2367" i="1"/>
  <c r="G1041" i="1"/>
  <c r="G169" i="1"/>
  <c r="G1557" i="1"/>
  <c r="G2320" i="1"/>
  <c r="G643" i="1"/>
  <c r="G153" i="1"/>
  <c r="G1442" i="1"/>
  <c r="G388" i="1"/>
  <c r="G1597" i="1"/>
  <c r="G772" i="1"/>
  <c r="G753" i="1"/>
  <c r="G1748" i="1"/>
  <c r="G1945" i="1"/>
  <c r="G870" i="1"/>
  <c r="G1309" i="1"/>
  <c r="G1284" i="1"/>
  <c r="G2229" i="1"/>
  <c r="G1808" i="1"/>
  <c r="G1289" i="1"/>
  <c r="G1940" i="1"/>
  <c r="G215" i="1"/>
  <c r="G732" i="1"/>
  <c r="G1897" i="1"/>
  <c r="G1683" i="1"/>
  <c r="G117" i="1"/>
  <c r="G1784" i="1"/>
  <c r="G468" i="1"/>
  <c r="G23" i="1"/>
  <c r="G832" i="1"/>
  <c r="G710" i="1"/>
  <c r="G2341" i="1"/>
  <c r="G980" i="1"/>
  <c r="G2112" i="1"/>
  <c r="G731" i="1"/>
  <c r="G1432" i="1"/>
  <c r="G475" i="1"/>
  <c r="G1698" i="1"/>
  <c r="G1575" i="1"/>
  <c r="G2308" i="1"/>
  <c r="G493" i="1"/>
  <c r="G2046" i="1"/>
  <c r="G176" i="1"/>
  <c r="G1701" i="1"/>
  <c r="G880" i="1"/>
  <c r="G2289" i="1"/>
  <c r="G1460" i="1"/>
  <c r="G1521" i="1"/>
  <c r="G2186" i="1"/>
  <c r="G134" i="1"/>
  <c r="G2120" i="1"/>
  <c r="G1113" i="1"/>
  <c r="G793" i="1"/>
  <c r="G2103" i="1"/>
  <c r="G715" i="1"/>
  <c r="G528" i="1"/>
  <c r="G1427" i="1"/>
  <c r="G1269" i="1"/>
  <c r="G2248" i="1"/>
  <c r="G975" i="1"/>
  <c r="G2283" i="1"/>
  <c r="G2135" i="1"/>
  <c r="G48" i="1"/>
  <c r="G1686" i="1"/>
  <c r="G415" i="1"/>
  <c r="G2000" i="1"/>
  <c r="G2036" i="1"/>
  <c r="G674" i="1"/>
  <c r="G289" i="1"/>
  <c r="G1631" i="1"/>
  <c r="G294" i="1"/>
  <c r="G431" i="1"/>
  <c r="G1796" i="1"/>
  <c r="G578" i="1"/>
  <c r="G495" i="1"/>
  <c r="G2200" i="1"/>
  <c r="G592" i="1"/>
  <c r="G1809" i="1"/>
  <c r="G1304" i="1"/>
  <c r="G2042" i="1"/>
  <c r="G940" i="1"/>
  <c r="G1008" i="1"/>
  <c r="G616" i="1"/>
  <c r="G2213" i="1"/>
  <c r="G1173" i="1"/>
  <c r="G1588" i="1"/>
  <c r="G101" i="1"/>
  <c r="G1137" i="1"/>
  <c r="G1136" i="1"/>
  <c r="G798" i="1"/>
  <c r="G883" i="1"/>
  <c r="G2160" i="1"/>
  <c r="G1436" i="1"/>
  <c r="G429" i="1"/>
  <c r="G1104" i="1"/>
  <c r="G1848" i="1"/>
  <c r="G771" i="1"/>
  <c r="G1704" i="1"/>
  <c r="G899" i="1"/>
  <c r="G326" i="1"/>
  <c r="G943" i="1"/>
  <c r="G853" i="1"/>
  <c r="G1793" i="1"/>
  <c r="G310" i="1"/>
  <c r="G90" i="1"/>
  <c r="G1220" i="1"/>
  <c r="G1134" i="1"/>
  <c r="G1867" i="1"/>
  <c r="G2331" i="1"/>
  <c r="G1917" i="1"/>
  <c r="G2064" i="1"/>
  <c r="G1451" i="1"/>
  <c r="G897" i="1"/>
  <c r="G1874" i="1"/>
  <c r="G120" i="1"/>
  <c r="G1947" i="1"/>
  <c r="G536" i="1"/>
  <c r="G1162" i="1"/>
  <c r="G1271" i="1"/>
  <c r="G2252" i="1"/>
  <c r="G1003" i="1"/>
  <c r="G1936" i="1"/>
  <c r="G1148" i="1"/>
  <c r="G1237" i="1"/>
  <c r="G1491" i="1"/>
  <c r="G2091" i="1"/>
  <c r="G1538" i="1"/>
  <c r="G1334" i="1"/>
  <c r="G1753" i="1"/>
  <c r="G1082" i="1"/>
  <c r="G2300" i="1"/>
  <c r="G841" i="1"/>
  <c r="G1619" i="1"/>
  <c r="G1900" i="1"/>
  <c r="G2218" i="1"/>
  <c r="G1864" i="1"/>
  <c r="G1225" i="1"/>
  <c r="G1146" i="1"/>
  <c r="G1243" i="1"/>
  <c r="G2180" i="1"/>
  <c r="G2222" i="1"/>
  <c r="G886" i="1"/>
  <c r="G392" i="1"/>
  <c r="G1586" i="1"/>
  <c r="G2041" i="1"/>
  <c r="G1820" i="1"/>
  <c r="G504" i="1"/>
  <c r="G1777" i="1"/>
  <c r="G716" i="1"/>
  <c r="G727" i="1"/>
  <c r="G1329" i="1"/>
  <c r="G973" i="1"/>
  <c r="G1253" i="1"/>
  <c r="G1677" i="1"/>
  <c r="G2140" i="1"/>
  <c r="G724" i="1"/>
  <c r="G1362" i="1"/>
  <c r="G614" i="1"/>
  <c r="G425" i="1"/>
  <c r="G2105" i="1"/>
  <c r="G1439" i="1"/>
  <c r="G1126" i="1"/>
  <c r="G2287" i="1"/>
  <c r="G46" i="1"/>
  <c r="G1471" i="1"/>
  <c r="G1367" i="1"/>
  <c r="G1459" i="1"/>
  <c r="G18" i="1"/>
  <c r="G1228" i="1"/>
  <c r="G2188" i="1"/>
  <c r="G265" i="1"/>
  <c r="G291" i="1"/>
  <c r="G1291" i="1"/>
  <c r="G1312" i="1"/>
  <c r="G1932" i="1"/>
  <c r="G2373" i="1"/>
  <c r="G1923" i="1"/>
  <c r="G515" i="1"/>
  <c r="G409" i="1"/>
  <c r="G1401" i="1"/>
  <c r="G1980" i="1"/>
  <c r="G1779" i="1"/>
  <c r="G1353" i="1"/>
  <c r="G1446" i="1"/>
  <c r="G2277" i="1"/>
  <c r="G1776" i="1"/>
  <c r="G1640" i="1"/>
  <c r="G1829" i="1"/>
  <c r="G418" i="1"/>
  <c r="G407" i="1"/>
  <c r="G2177" i="1"/>
  <c r="G554" i="1"/>
  <c r="G553" i="1"/>
  <c r="G2159" i="1"/>
  <c r="G1045" i="1"/>
  <c r="G1907" i="1"/>
  <c r="G2355" i="1"/>
  <c r="G1388" i="1"/>
  <c r="G884" i="1"/>
  <c r="G1397" i="1"/>
  <c r="G618" i="1"/>
  <c r="G1035" i="1"/>
  <c r="G1444" i="1"/>
  <c r="G2285" i="1"/>
  <c r="G1901" i="1"/>
  <c r="G148" i="1"/>
  <c r="G2347" i="1"/>
  <c r="G1627" i="1"/>
  <c r="G1663" i="1"/>
  <c r="G741" i="1"/>
  <c r="G935" i="1"/>
  <c r="G844" i="1"/>
  <c r="G1386" i="1"/>
  <c r="G1300" i="1"/>
  <c r="G1827" i="1"/>
  <c r="G1870" i="1"/>
  <c r="G423" i="1"/>
  <c r="G115" i="1"/>
  <c r="G1633" i="1"/>
  <c r="G131" i="1"/>
  <c r="G1836" i="1"/>
  <c r="G1140" i="1"/>
  <c r="G1383" i="1"/>
  <c r="G220" i="1"/>
  <c r="G1441" i="1"/>
  <c r="G756" i="1"/>
  <c r="G2240" i="1"/>
  <c r="G2208" i="1"/>
  <c r="G1319" i="1"/>
  <c r="G490" i="1"/>
  <c r="G464" i="1"/>
  <c r="G929" i="1"/>
  <c r="G997" i="1"/>
  <c r="G292" i="1"/>
  <c r="G1795" i="1"/>
  <c r="G1878" i="1"/>
  <c r="G1569" i="1"/>
  <c r="G1087" i="1"/>
  <c r="G30" i="1"/>
  <c r="G1143" i="1"/>
  <c r="G2257" i="1"/>
  <c r="G851" i="1"/>
  <c r="G1108" i="1"/>
  <c r="G1443" i="1"/>
  <c r="G709" i="1"/>
  <c r="G1562" i="1"/>
  <c r="G1773" i="1"/>
  <c r="G1987" i="1"/>
  <c r="G2361" i="1"/>
  <c r="G492" i="1"/>
  <c r="G1157" i="1"/>
  <c r="G375" i="1"/>
  <c r="G2371" i="1"/>
  <c r="G2005" i="1"/>
  <c r="G1088" i="1"/>
  <c r="G638" i="1"/>
  <c r="G190" i="1"/>
  <c r="G1738" i="1"/>
  <c r="G916" i="1"/>
  <c r="G184" i="1"/>
  <c r="G104" i="1"/>
  <c r="G1412" i="1"/>
  <c r="G1717" i="1"/>
  <c r="G318" i="1"/>
  <c r="G473" i="1"/>
  <c r="G1736" i="1"/>
  <c r="G2325" i="1"/>
  <c r="G2007" i="1"/>
  <c r="G1568" i="1"/>
  <c r="G1694" i="1"/>
  <c r="G2163" i="1"/>
  <c r="G114" i="1"/>
  <c r="G1749" i="1"/>
  <c r="G70" i="1"/>
  <c r="G2076" i="1"/>
  <c r="G1485" i="1"/>
  <c r="G1910" i="1"/>
  <c r="G2359" i="1"/>
  <c r="G1611" i="1"/>
  <c r="G1374" i="1"/>
  <c r="G1406" i="1"/>
  <c r="G106" i="1"/>
  <c r="G1046" i="1"/>
  <c r="G2088" i="1"/>
  <c r="G2348" i="1"/>
  <c r="G217" i="1"/>
  <c r="G1861" i="1"/>
  <c r="G775" i="1"/>
  <c r="G686" i="1"/>
  <c r="G1118" i="1"/>
  <c r="G452" i="1"/>
  <c r="G1178" i="1"/>
  <c r="G2146" i="1"/>
  <c r="G877" i="1"/>
  <c r="G1373" i="1"/>
  <c r="G1728" i="1"/>
  <c r="G196" i="1"/>
  <c r="G1726" i="1"/>
  <c r="G804" i="1"/>
  <c r="G1499" i="1"/>
  <c r="G976" i="1"/>
  <c r="G1598" i="1"/>
  <c r="G39" i="1"/>
  <c r="G1723" i="1"/>
  <c r="G839" i="1"/>
  <c r="G1458" i="1"/>
  <c r="G287" i="1"/>
  <c r="G390" i="1"/>
  <c r="G1771" i="1"/>
  <c r="G1943" i="1"/>
  <c r="G2375" i="1"/>
  <c r="G1607" i="1"/>
  <c r="G1842" i="1"/>
  <c r="G748" i="1"/>
  <c r="G1105" i="1"/>
  <c r="G1233" i="1"/>
  <c r="G984" i="1"/>
  <c r="G689" i="1"/>
  <c r="G723" i="1"/>
  <c r="G1996" i="1"/>
  <c r="G529" i="1"/>
  <c r="G1270" i="1"/>
  <c r="G1428" i="1"/>
  <c r="G2004" i="1"/>
  <c r="G1862" i="1"/>
  <c r="G2124" i="1"/>
  <c r="G837" i="1"/>
  <c r="G2219" i="1"/>
  <c r="G64" i="1"/>
  <c r="G942" i="1"/>
  <c r="G513" i="1"/>
  <c r="G381" i="1"/>
  <c r="G516" i="1"/>
  <c r="G1055" i="1"/>
  <c r="G1331" i="1"/>
  <c r="G355" i="1"/>
  <c r="G2014" i="1"/>
  <c r="G40" i="1"/>
  <c r="G2069" i="1"/>
  <c r="G1533" i="1"/>
  <c r="G1912" i="1"/>
  <c r="G538" i="1"/>
  <c r="G456" i="1"/>
  <c r="G434" i="1"/>
  <c r="G888" i="1"/>
  <c r="G1770" i="1"/>
  <c r="G1350" i="1"/>
  <c r="G1973" i="1"/>
  <c r="G1956" i="1"/>
  <c r="G2238" i="1"/>
  <c r="G1887" i="1"/>
  <c r="G349" i="1"/>
  <c r="G1036" i="1"/>
  <c r="G590" i="1"/>
  <c r="G1654" i="1"/>
  <c r="G1876" i="1"/>
  <c r="G174" i="1"/>
  <c r="G1733" i="1"/>
  <c r="G17" i="1"/>
  <c r="G258" i="1"/>
  <c r="G1802" i="1"/>
  <c r="G1112" i="1"/>
  <c r="G1674" i="1"/>
  <c r="G1470" i="1"/>
  <c r="G1482" i="1"/>
  <c r="G1567" i="1"/>
  <c r="G903" i="1"/>
  <c r="G663" i="1"/>
  <c r="G489" i="1"/>
  <c r="G472" i="1"/>
  <c r="G1646" i="1"/>
  <c r="G2377" i="1"/>
  <c r="G195" i="1"/>
  <c r="G941" i="1"/>
  <c r="G2275" i="1"/>
  <c r="G1418" i="1"/>
  <c r="G1949" i="1"/>
  <c r="G2313" i="1"/>
  <c r="G182" i="1"/>
  <c r="G1661" i="1"/>
  <c r="G633" i="1"/>
  <c r="G2187" i="1"/>
  <c r="G1929" i="1"/>
  <c r="G1505" i="1"/>
  <c r="G1555" i="1"/>
  <c r="G1625" i="1"/>
  <c r="G800" i="1"/>
  <c r="G664" i="1"/>
  <c r="G314" i="1"/>
  <c r="G2023" i="1"/>
  <c r="G1259" i="1"/>
  <c r="G151" i="1"/>
  <c r="G699" i="1"/>
  <c r="G1703" i="1"/>
  <c r="G1382" i="1"/>
  <c r="G667" i="1"/>
  <c r="G654" i="1"/>
  <c r="G2343" i="1"/>
  <c r="G1347" i="1"/>
  <c r="G422" i="1"/>
  <c r="G1493" i="1"/>
  <c r="G1535" i="1"/>
  <c r="G193" i="1"/>
  <c r="G1948" i="1"/>
  <c r="G1051" i="1"/>
  <c r="G379" i="1"/>
  <c r="G1053" i="1"/>
  <c r="G1651" i="1"/>
  <c r="G99" i="1"/>
  <c r="G873" i="1"/>
  <c r="G1543" i="1"/>
  <c r="G2199" i="1"/>
  <c r="G770" i="1"/>
  <c r="G1991" i="1"/>
  <c r="G1276" i="1"/>
  <c r="G1804" i="1"/>
  <c r="G2151" i="1"/>
  <c r="G1969" i="1"/>
  <c r="G813" i="1"/>
  <c r="G10" i="1"/>
  <c r="G719" i="1"/>
  <c r="G1260" i="1"/>
  <c r="G581" i="1"/>
  <c r="G831" i="1"/>
  <c r="G2062" i="1"/>
  <c r="G1073" i="1"/>
  <c r="G1678" i="1"/>
  <c r="G2332" i="1"/>
  <c r="G1081" i="1"/>
  <c r="G1216" i="1"/>
  <c r="G787" i="1"/>
  <c r="G782" i="1"/>
  <c r="G385" i="1"/>
  <c r="G406" i="1"/>
  <c r="G1308" i="1"/>
  <c r="G1754" i="1"/>
  <c r="G161" i="1"/>
  <c r="G262" i="1"/>
  <c r="G1015" i="1"/>
  <c r="G747" i="1"/>
  <c r="G359" i="1"/>
  <c r="G545" i="1"/>
  <c r="G1395" i="1"/>
  <c r="G2078" i="1"/>
  <c r="G178" i="1"/>
  <c r="G1922" i="1"/>
  <c r="G996" i="1"/>
  <c r="G194" i="1"/>
  <c r="G881" i="1"/>
  <c r="G817" i="1"/>
  <c r="G2385" i="1"/>
  <c r="G889" i="1"/>
  <c r="G700" i="1"/>
  <c r="G2152" i="1"/>
  <c r="G1119" i="1"/>
  <c r="G1330" i="1"/>
  <c r="G57" i="1"/>
  <c r="G1591" i="1"/>
  <c r="G1341" i="1"/>
  <c r="G1096" i="1"/>
  <c r="G65" i="1"/>
  <c r="G257" i="1"/>
  <c r="G670" i="1"/>
  <c r="G382" i="1"/>
  <c r="G1226" i="1"/>
  <c r="G500" i="1"/>
  <c r="G1100" i="1"/>
  <c r="G1762" i="1"/>
  <c r="G2360" i="1"/>
  <c r="G2032" i="1"/>
  <c r="G781" i="1"/>
  <c r="G1048" i="1"/>
  <c r="G1267" i="1"/>
  <c r="G1964" i="1"/>
  <c r="G1782" i="1"/>
  <c r="G652" i="1"/>
  <c r="G1666" i="1"/>
  <c r="G177" i="1"/>
  <c r="G71" i="1"/>
  <c r="G2045" i="1"/>
  <c r="G235" i="1"/>
  <c r="G162" i="1"/>
  <c r="G362" i="1"/>
  <c r="G1424" i="1"/>
  <c r="G681" i="1"/>
  <c r="G1027" i="1"/>
  <c r="G1283" i="1"/>
  <c r="G1497" i="1"/>
  <c r="G1115" i="1"/>
  <c r="G1487" i="1"/>
  <c r="G1653" i="1"/>
  <c r="G8" i="1"/>
  <c r="G1628" i="1"/>
  <c r="G249" i="1"/>
  <c r="G2321" i="1"/>
  <c r="G1172" i="1"/>
  <c r="G1527" i="1"/>
  <c r="G1363" i="1"/>
  <c r="G1433" i="1"/>
  <c r="G1559" i="1"/>
  <c r="G325" i="1"/>
  <c r="G1215" i="1"/>
  <c r="G1667" i="1"/>
  <c r="G576" i="1"/>
  <c r="G615" i="1"/>
  <c r="G92" i="1"/>
  <c r="G1955" i="1"/>
  <c r="G757" i="1"/>
  <c r="G1986" i="1"/>
  <c r="G1643" i="1"/>
  <c r="G1344" i="1"/>
  <c r="G246" i="1"/>
  <c r="G1853" i="1"/>
  <c r="G2189" i="1"/>
  <c r="G1968" i="1"/>
  <c r="G755" i="1"/>
  <c r="G2198" i="1"/>
  <c r="G2114" i="1"/>
  <c r="G255" i="1"/>
  <c r="G1400" i="1"/>
  <c r="G1565" i="1"/>
  <c r="G494" i="1"/>
  <c r="G2259" i="1"/>
  <c r="G631" i="1"/>
  <c r="G1798" i="1"/>
  <c r="G1898" i="1"/>
  <c r="G2050" i="1"/>
  <c r="G1721" i="1"/>
  <c r="G346" i="1"/>
  <c r="G261" i="1"/>
  <c r="G466" i="1"/>
  <c r="G653" i="1"/>
  <c r="G1512" i="1"/>
  <c r="G138" i="1"/>
  <c r="G1352" i="1"/>
  <c r="G584" i="1"/>
  <c r="G1751" i="1"/>
  <c r="G1594" i="1"/>
  <c r="G2220" i="1"/>
  <c r="G1286" i="1"/>
  <c r="G1222" i="1"/>
  <c r="G597" i="1"/>
  <c r="G368" i="1"/>
  <c r="G366" i="1"/>
  <c r="G2235" i="1"/>
  <c r="G1464" i="1"/>
  <c r="G645" i="1"/>
  <c r="G625" i="1"/>
  <c r="G84" i="1"/>
  <c r="G1967" i="1"/>
  <c r="G1197" i="1"/>
  <c r="G276" i="1"/>
  <c r="G2065" i="1"/>
  <c r="G2346" i="1"/>
  <c r="G629" i="1"/>
  <c r="G432" i="1"/>
  <c r="G1389" i="1"/>
  <c r="G2167" i="1"/>
  <c r="G2093" i="1"/>
  <c r="G1127" i="1"/>
  <c r="G168" i="1"/>
  <c r="G405" i="1"/>
  <c r="G221" i="1"/>
  <c r="G1890" i="1"/>
  <c r="G1865" i="1"/>
  <c r="G1985" i="1"/>
  <c r="G1355" i="1"/>
  <c r="G1091" i="1"/>
  <c r="G393" i="1"/>
  <c r="G2265" i="1"/>
  <c r="G14" i="1"/>
  <c r="G1747" i="1"/>
  <c r="G1822" i="1"/>
  <c r="G1067" i="1"/>
  <c r="G1394" i="1"/>
  <c r="G759" i="1"/>
  <c r="G183" i="1"/>
  <c r="G1691" i="1"/>
  <c r="G181" i="1"/>
  <c r="G1583" i="1"/>
  <c r="G646" i="1"/>
  <c r="G869" i="1"/>
  <c r="G1648" i="1"/>
  <c r="G204" i="1"/>
  <c r="G2368" i="1"/>
  <c r="G175" i="1"/>
  <c r="G252" i="1"/>
  <c r="G603" i="1"/>
  <c r="G1059" i="1"/>
  <c r="G1065" i="1"/>
  <c r="G1709" i="1"/>
  <c r="G146" i="1"/>
  <c r="G1961" i="1"/>
  <c r="G2316" i="1"/>
  <c r="G2092" i="1"/>
  <c r="G999" i="1"/>
  <c r="G43" i="1"/>
  <c r="G704" i="1"/>
  <c r="G697" i="1"/>
  <c r="G527" i="1"/>
  <c r="G337" i="1"/>
  <c r="G1984" i="1"/>
  <c r="G35" i="1"/>
  <c r="G311" i="1"/>
  <c r="G2009" i="1"/>
  <c r="G726" i="1"/>
  <c r="G1169" i="1"/>
  <c r="G2284" i="1"/>
  <c r="G242" i="1"/>
  <c r="G987" i="1"/>
  <c r="G1800" i="1"/>
  <c r="G1440" i="1"/>
  <c r="G819" i="1"/>
  <c r="G1622" i="1"/>
  <c r="G1603" i="1"/>
  <c r="G703" i="1"/>
  <c r="G1149" i="1"/>
  <c r="G613" i="1"/>
  <c r="G660" i="1"/>
  <c r="G1106" i="1"/>
  <c r="G111" i="1"/>
  <c r="G206" i="1"/>
  <c r="G1131" i="1"/>
  <c r="G1584" i="1"/>
  <c r="G705" i="1"/>
  <c r="G1899" i="1"/>
  <c r="G587" i="1"/>
  <c r="G413" i="1"/>
  <c r="G1881" i="1"/>
  <c r="G387" i="1"/>
  <c r="G1109" i="1"/>
  <c r="G1950" i="1"/>
  <c r="G937" i="1"/>
  <c r="G1255" i="1"/>
  <c r="G1641" i="1"/>
  <c r="G574" i="1"/>
  <c r="G1713" i="1"/>
  <c r="G1566" i="1"/>
  <c r="G1824" i="1"/>
  <c r="G1976" i="1"/>
  <c r="G908" i="1"/>
  <c r="G143" i="1"/>
  <c r="G24" i="1"/>
  <c r="G1378" i="1"/>
  <c r="G953" i="1"/>
  <c r="G1626" i="1"/>
  <c r="G867" i="1"/>
  <c r="G1507" i="1"/>
  <c r="G9" i="1"/>
  <c r="G1993" i="1"/>
  <c r="G2209" i="1"/>
  <c r="G1212" i="1"/>
  <c r="G1010" i="1"/>
  <c r="G924" i="1"/>
  <c r="G609" i="1"/>
  <c r="G1174" i="1"/>
  <c r="G496" i="1"/>
  <c r="G1336" i="1"/>
  <c r="G1498" i="1"/>
  <c r="G691" i="1"/>
  <c r="G1852" i="1"/>
  <c r="G2365" i="1"/>
  <c r="G36" i="1"/>
  <c r="G63" i="1"/>
  <c r="G356" i="1"/>
  <c r="G1263" i="1"/>
  <c r="G1580" i="1"/>
  <c r="G245" i="1"/>
  <c r="G350" i="1"/>
  <c r="G2033" i="1"/>
  <c r="G1825" i="1"/>
  <c r="G1509" i="1"/>
  <c r="G1957" i="1"/>
  <c r="G678" i="1"/>
  <c r="G1731" i="1"/>
  <c r="G1547" i="1"/>
  <c r="G914" i="1"/>
  <c r="G2095" i="1"/>
  <c r="G1659" i="1"/>
  <c r="G428" i="1"/>
  <c r="G738" i="1"/>
  <c r="G1636" i="1"/>
  <c r="G950" i="1"/>
  <c r="G2362" i="1"/>
  <c r="G1561" i="1"/>
  <c r="G857" i="1"/>
  <c r="G514" i="1"/>
  <c r="G1587" i="1"/>
  <c r="G2016" i="1"/>
  <c r="G307" i="1"/>
  <c r="G1298" i="1"/>
  <c r="G155" i="1"/>
  <c r="G579" i="1"/>
  <c r="G80" i="1"/>
  <c r="G854" i="1"/>
  <c r="G1278" i="1"/>
  <c r="G1815" i="1"/>
  <c r="G130" i="1"/>
  <c r="G192" i="1"/>
  <c r="G1248" i="1"/>
  <c r="G541" i="1"/>
  <c r="G702" i="1"/>
  <c r="G1676" i="1"/>
  <c r="G152" i="1"/>
  <c r="G1635" i="1"/>
  <c r="G1054" i="1"/>
  <c r="G1251" i="1"/>
  <c r="G1595" i="1"/>
  <c r="G811" i="1"/>
  <c r="G1671" i="1"/>
  <c r="G1884" i="1"/>
  <c r="G2291" i="1"/>
  <c r="G1293" i="1"/>
  <c r="G2066" i="1"/>
  <c r="G2181" i="1"/>
  <c r="G734" i="1"/>
  <c r="G282" i="1"/>
  <c r="G849" i="1"/>
  <c r="G959" i="1"/>
  <c r="G1232" i="1"/>
  <c r="G1219" i="1"/>
  <c r="G352" i="1"/>
  <c r="G1044" i="1"/>
  <c r="G2182" i="1"/>
  <c r="G767" i="1"/>
  <c r="G5" i="1"/>
  <c r="G465" i="1"/>
  <c r="G859" i="1"/>
  <c r="G864" i="1"/>
  <c r="G1734" i="1"/>
  <c r="G530" i="1"/>
  <c r="G602" i="1"/>
  <c r="G2261" i="1"/>
  <c r="G50" i="1"/>
  <c r="G1927" i="1"/>
  <c r="G993" i="1"/>
  <c r="G1310" i="1"/>
  <c r="G1758" i="1"/>
  <c r="G1529" i="1"/>
  <c r="G1629" i="1"/>
  <c r="G2003" i="1"/>
  <c r="G1860" i="1"/>
  <c r="G1832" i="1"/>
  <c r="G1229" i="1"/>
  <c r="G1066" i="1"/>
  <c r="G796" i="1"/>
  <c r="G2251" i="1"/>
  <c r="G224" i="1"/>
  <c r="G1208" i="1"/>
  <c r="G2090" i="1"/>
  <c r="G1869" i="1"/>
  <c r="G1070" i="1"/>
  <c r="G497" i="1"/>
  <c r="G400" i="1"/>
  <c r="G922" i="1"/>
  <c r="G1196" i="1"/>
  <c r="G389" i="1"/>
  <c r="G1116" i="1"/>
  <c r="G2102" i="1"/>
  <c r="G1563" i="1"/>
  <c r="G1290" i="1"/>
  <c r="G77" i="1"/>
  <c r="G1038" i="1"/>
  <c r="G1934" i="1"/>
  <c r="G488" i="1"/>
  <c r="G2122" i="1"/>
  <c r="G271" i="1"/>
  <c r="G322" i="1"/>
  <c r="G1465" i="1"/>
  <c r="G127" i="1"/>
  <c r="G461" i="1"/>
  <c r="G420" i="1"/>
  <c r="G2086" i="1"/>
  <c r="G96" i="1"/>
  <c r="G754" i="1"/>
  <c r="G482" i="1"/>
  <c r="G1915" i="1"/>
  <c r="G540" i="1"/>
  <c r="G118" i="1"/>
  <c r="G103" i="1"/>
  <c r="G874" i="1"/>
  <c r="G2117" i="1"/>
  <c r="G67" i="1"/>
  <c r="G1039" i="1"/>
  <c r="G1978" i="1"/>
  <c r="G2165" i="1"/>
  <c r="G170" i="1"/>
  <c r="G595" i="1"/>
  <c r="G411" i="1"/>
  <c r="G300" i="1"/>
  <c r="G604" i="1"/>
  <c r="G1295" i="1"/>
  <c r="G132" i="1"/>
  <c r="G1411" i="1"/>
  <c r="G593" i="1"/>
  <c r="G1198" i="1"/>
  <c r="G159" i="1"/>
  <c r="G244" i="1"/>
  <c r="G299" i="1"/>
  <c r="G902" i="1"/>
  <c r="G1826" i="1"/>
  <c r="G274" i="1"/>
  <c r="G47" i="1"/>
  <c r="G1788" i="1"/>
  <c r="G1121" i="1"/>
  <c r="G503" i="1"/>
  <c r="G480" i="1"/>
  <c r="G1184" i="1"/>
  <c r="G1745" i="1"/>
  <c r="G1911" i="1"/>
  <c r="G81" i="1"/>
  <c r="G948" i="1"/>
  <c r="G1544" i="1"/>
  <c r="G1296" i="1"/>
  <c r="G2176" i="1"/>
  <c r="G692" i="1"/>
  <c r="G421" i="1"/>
  <c r="G1200" i="1"/>
  <c r="G1944" i="1"/>
  <c r="G1484" i="1"/>
  <c r="G154" i="1"/>
  <c r="G534" i="1"/>
  <c r="G1422" i="1"/>
  <c r="G1495" i="1"/>
  <c r="G766" i="1"/>
  <c r="G1005" i="1"/>
  <c r="G1111" i="1"/>
  <c r="G343" i="1"/>
  <c r="G1050" i="1"/>
  <c r="G364" i="1"/>
  <c r="G938" i="1"/>
  <c r="G601" i="1"/>
  <c r="G1324" i="1"/>
  <c r="G228" i="1"/>
  <c r="G2156" i="1"/>
  <c r="G139" i="1"/>
  <c r="G2094" i="1"/>
  <c r="G1023" i="1"/>
  <c r="G1833" i="1"/>
  <c r="G1617" i="1"/>
  <c r="G2288" i="1"/>
  <c r="G1413" i="1"/>
  <c r="G1074" i="1"/>
  <c r="G25" i="1"/>
  <c r="G533" i="1"/>
  <c r="G1214" i="1"/>
  <c r="G20" i="1"/>
  <c r="G2115" i="1"/>
  <c r="G1716" i="1"/>
  <c r="G1767" i="1"/>
  <c r="G2258" i="1"/>
  <c r="G1926" i="1"/>
  <c r="G2196" i="1"/>
  <c r="G952" i="1"/>
  <c r="G1786" i="1"/>
  <c r="G2349" i="1"/>
  <c r="G1823" i="1"/>
  <c r="G1756" i="1"/>
  <c r="G1971" i="1"/>
  <c r="G74" i="1"/>
  <c r="G128" i="1"/>
  <c r="G1513" i="1"/>
  <c r="G1977" i="1"/>
  <c r="G1094" i="1"/>
  <c r="G437" i="1"/>
  <c r="G876" i="1"/>
  <c r="G1057" i="1"/>
  <c r="G1223" i="1"/>
  <c r="G1982" i="1"/>
  <c r="G2052" i="1"/>
  <c r="G1160" i="1"/>
  <c r="G95" i="1"/>
  <c r="G1524" i="1"/>
  <c r="G1033" i="1"/>
  <c r="G1335" i="1"/>
  <c r="G2330" i="1"/>
  <c r="G1009" i="1"/>
  <c r="G1511" i="1"/>
  <c r="G2028" i="1"/>
  <c r="G792" i="1"/>
  <c r="G1889" i="1"/>
  <c r="G1850" i="1"/>
  <c r="G1449" i="1"/>
  <c r="G2037" i="1"/>
  <c r="G842" i="1"/>
  <c r="G62" i="1"/>
  <c r="G802" i="1"/>
  <c r="G51" i="1"/>
  <c r="G2109" i="1"/>
  <c r="G369" i="1"/>
  <c r="G2169" i="1"/>
  <c r="G340" i="1"/>
  <c r="G2133" i="1"/>
  <c r="G570" i="1"/>
  <c r="G2191" i="1"/>
  <c r="G236" i="1"/>
  <c r="G315" i="1"/>
  <c r="G1348" i="1"/>
  <c r="G354" i="1"/>
  <c r="G1812" i="1"/>
  <c r="G436" i="1"/>
  <c r="G251" i="1"/>
  <c r="G736" i="1"/>
  <c r="G850" i="1"/>
  <c r="G1354" i="1"/>
  <c r="G1954" i="1"/>
  <c r="G539" i="1"/>
  <c r="G1093" i="1"/>
  <c r="G1696" i="1"/>
  <c r="G1049" i="1"/>
  <c r="G1072" i="1"/>
  <c r="G2334" i="1"/>
  <c r="G642" i="1"/>
  <c r="G2097" i="1"/>
  <c r="G1564" i="1"/>
  <c r="G61" i="1"/>
  <c r="G1120" i="1"/>
  <c r="G288" i="1"/>
  <c r="G1714" i="1"/>
  <c r="G1658" i="1"/>
  <c r="G735" i="1"/>
  <c r="G1608" i="1"/>
  <c r="G1560" i="1"/>
  <c r="G2247" i="1"/>
  <c r="G373" i="1"/>
  <c r="G505" i="1"/>
  <c r="G1866" i="1"/>
  <c r="G2333" i="1"/>
  <c r="G449" i="1"/>
  <c r="G451" i="1"/>
  <c r="G912" i="1"/>
  <c r="G1687" i="1"/>
  <c r="G444" i="1"/>
  <c r="G1325" i="1"/>
  <c r="G1769" i="1"/>
  <c r="G790" i="1"/>
  <c r="G270" i="1"/>
  <c r="G1031" i="1"/>
  <c r="G657" i="1"/>
  <c r="G2303" i="1"/>
  <c r="G2309" i="1"/>
  <c r="G1828" i="1"/>
  <c r="G1488" i="1"/>
  <c r="G1020" i="1"/>
  <c r="G2224" i="1"/>
  <c r="G119" i="1"/>
  <c r="G1452" i="1"/>
  <c r="G2244" i="1"/>
  <c r="G887" i="1"/>
  <c r="G1724" i="1"/>
  <c r="G1360" i="1"/>
  <c r="G2323" i="1"/>
  <c r="G87" i="1"/>
  <c r="G695" i="1"/>
  <c r="G2201" i="1"/>
  <c r="G2017" i="1"/>
  <c r="G2043" i="1"/>
  <c r="G1204" i="1"/>
  <c r="G269" i="1"/>
  <c r="G684" i="1"/>
  <c r="G665" i="1"/>
  <c r="G1166" i="1"/>
  <c r="G485" i="1"/>
  <c r="G230" i="1"/>
  <c r="G814" i="1"/>
  <c r="G1706" i="1"/>
  <c r="G1287" i="1"/>
  <c r="G1092" i="1"/>
  <c r="G2211" i="1"/>
  <c r="G1990" i="1"/>
  <c r="G226" i="1"/>
  <c r="G1076" i="1"/>
  <c r="G1098" i="1"/>
  <c r="G1669" i="1"/>
  <c r="G968" i="1"/>
  <c r="G7" i="1"/>
  <c r="G391" i="1"/>
  <c r="G2172" i="1"/>
  <c r="G42" i="1"/>
  <c r="G135" i="1"/>
  <c r="G302" i="1"/>
  <c r="G361" i="1"/>
  <c r="G171" i="1"/>
  <c r="G836" i="1"/>
  <c r="G1708" i="1"/>
  <c r="G637" i="1"/>
  <c r="G2148" i="1"/>
  <c r="G1814" i="1"/>
  <c r="G98" i="1"/>
  <c r="G443" i="1"/>
  <c r="G2255" i="1"/>
  <c r="G658" i="1"/>
  <c r="G1164" i="1"/>
  <c r="G1028" i="1"/>
  <c r="G1894" i="1"/>
  <c r="G1145" i="1"/>
  <c r="G1323" i="1"/>
  <c r="G834" i="1"/>
  <c r="G2057" i="1"/>
  <c r="G72" i="1"/>
  <c r="G1473" i="1"/>
  <c r="G1805" i="1"/>
  <c r="G1502" i="1"/>
  <c r="G1979" i="1"/>
  <c r="G1239" i="1"/>
  <c r="G1095" i="1"/>
  <c r="G779" i="1"/>
  <c r="G1593" i="1"/>
  <c r="G332" i="1"/>
  <c r="G1846" i="1"/>
  <c r="G1052" i="1"/>
  <c r="G2192" i="1"/>
  <c r="G1238" i="1"/>
  <c r="G1895" i="1"/>
  <c r="G1858" i="1"/>
  <c r="G357" i="1"/>
  <c r="G974" i="1"/>
  <c r="G2270" i="1"/>
  <c r="G1231" i="1"/>
  <c r="G11" i="1"/>
  <c r="G417" i="1"/>
  <c r="G2380" i="1"/>
  <c r="G1316" i="1"/>
  <c r="G2067" i="1"/>
  <c r="G28" i="1"/>
  <c r="G2383" i="1"/>
  <c r="G2233" i="1"/>
  <c r="G1992" i="1"/>
  <c r="G12" i="1"/>
  <c r="G1959" i="1"/>
  <c r="G281" i="1"/>
  <c r="G1841" i="1"/>
  <c r="G329" i="1"/>
  <c r="G264" i="1"/>
  <c r="G1326" i="1"/>
  <c r="G2298" i="1"/>
  <c r="G386" i="1"/>
  <c r="G2123" i="1"/>
  <c r="G598" i="1"/>
  <c r="G1483" i="1"/>
  <c r="G1133" i="1"/>
  <c r="G189" i="1"/>
  <c r="G685" i="1"/>
  <c r="G1989" i="1"/>
  <c r="G253" i="1"/>
  <c r="G1281" i="1"/>
  <c r="G296" i="1"/>
  <c r="G2250" i="1"/>
  <c r="G713" i="1"/>
  <c r="G2379" i="1"/>
  <c r="G1056" i="1"/>
  <c r="G1757" i="1"/>
  <c r="G22" i="1"/>
  <c r="G2175" i="1"/>
  <c r="G1791" i="1"/>
  <c r="G448" i="1"/>
  <c r="G145" i="1"/>
  <c r="G2282" i="1"/>
  <c r="G769" i="1"/>
  <c r="G1206" i="1"/>
  <c r="G416" i="1"/>
  <c r="G1201" i="1"/>
  <c r="G268" i="1"/>
  <c r="G1871" i="1"/>
  <c r="G2305" i="1"/>
  <c r="G812" i="1"/>
  <c r="G110" i="1"/>
  <c r="G247" i="1"/>
  <c r="G1680" i="1"/>
  <c r="G2100" i="1"/>
  <c r="G214" i="1"/>
  <c r="G729" i="1"/>
  <c r="G2326" i="1"/>
  <c r="G499" i="1"/>
  <c r="G52" i="1"/>
  <c r="G1077" i="1"/>
  <c r="G1456" i="1"/>
  <c r="G2281" i="1"/>
  <c r="G1426" i="1"/>
  <c r="G655" i="1"/>
  <c r="G1037" i="1"/>
  <c r="G1387" i="1"/>
  <c r="G1581" i="1"/>
  <c r="G1720" i="1"/>
  <c r="G986" i="1"/>
  <c r="G586" i="1"/>
  <c r="G1141" i="1"/>
  <c r="G1016" i="1"/>
  <c r="G1849" i="1"/>
  <c r="G1185" i="1"/>
  <c r="G1590" i="1"/>
  <c r="G1245" i="1"/>
  <c r="G186" i="1"/>
  <c r="G1150" i="1"/>
  <c r="G2106" i="1"/>
  <c r="G1673" i="1"/>
  <c r="G696" i="1"/>
  <c r="G1247" i="1"/>
  <c r="G863" i="1"/>
  <c r="G208" i="1"/>
  <c r="G374" i="1"/>
  <c r="G1875" i="1"/>
  <c r="G2262" i="1"/>
  <c r="G248" i="1"/>
  <c r="G470" i="1"/>
  <c r="G972" i="1"/>
  <c r="G925" i="1"/>
  <c r="G2108" i="1"/>
  <c r="G370" i="1"/>
  <c r="G342" i="1"/>
  <c r="G412" i="1"/>
  <c r="G1797" i="1"/>
  <c r="G164" i="1"/>
  <c r="G988" i="1"/>
  <c r="G1274" i="1"/>
  <c r="G964" i="1"/>
  <c r="G1592" i="1"/>
  <c r="G1735" i="1"/>
</calcChain>
</file>

<file path=xl/sharedStrings.xml><?xml version="1.0" encoding="utf-8"?>
<sst xmlns="http://schemas.openxmlformats.org/spreadsheetml/2006/main" count="9382" uniqueCount="4926">
  <si>
    <t>ΟΝΟΜΑ</t>
  </si>
  <si>
    <t>ΕΠΩΝΥΜΟ</t>
  </si>
  <si>
    <t>Α.Δ.Τ.</t>
  </si>
  <si>
    <t>ΑΜ ΑΙΤΗΣΗΣ</t>
  </si>
  <si>
    <t>ΜΟΝΑΔΙΚΟΣ ΚΩΔΙΚΟΣ</t>
  </si>
  <si>
    <t>ΧΡΗΣΤΟΣ</t>
  </si>
  <si>
    <t>ΕΞΑΡΧΟΣ</t>
  </si>
  <si>
    <t>Ε-4158</t>
  </si>
  <si>
    <t>ΧΡΥΣΑΝΘΗ</t>
  </si>
  <si>
    <t>ΜΗΛΙΑ</t>
  </si>
  <si>
    <t>ΑΒ375202</t>
  </si>
  <si>
    <t>ΝΙΚΟΛΑΟΣ</t>
  </si>
  <si>
    <t>ΝΑΣΙΟΣ</t>
  </si>
  <si>
    <t>ΑΙ866621</t>
  </si>
  <si>
    <t>ΙΩΑΝΝΗΣ</t>
  </si>
  <si>
    <t>ΔΗΜΗΤΣΑΣ</t>
  </si>
  <si>
    <t>ΔΗΜΗΤΡΗΣ</t>
  </si>
  <si>
    <t>ΚΑΡΑΚΑΣΗΣ</t>
  </si>
  <si>
    <t>ΑΝΝΑ</t>
  </si>
  <si>
    <t>ΚΟΛΕΤΣΟΥ</t>
  </si>
  <si>
    <t>ΑΟ720452</t>
  </si>
  <si>
    <t>KΥΡΙΑΚOYΛΑ</t>
  </si>
  <si>
    <t>ΙΩΑΝΝΙΔΟΥ</t>
  </si>
  <si>
    <t>ΑΗΟΟ9192</t>
  </si>
  <si>
    <t>ΔΗΜΗΤΡΑ</t>
  </si>
  <si>
    <t>ΑΛΕΞΙΟΥ</t>
  </si>
  <si>
    <t>ΑΚ972419</t>
  </si>
  <si>
    <t>ΣΤΑΥΡΟΣ</t>
  </si>
  <si>
    <t>ΓΕΡΑΚΑΡΗΣ</t>
  </si>
  <si>
    <t>ΕΡΩΦΙΛΗ</t>
  </si>
  <si>
    <t>ΜΠΑΝΤΙΑ</t>
  </si>
  <si>
    <t>ΑΑ991589</t>
  </si>
  <si>
    <t>ΒΑΣΙΛΕΙΟΣ</t>
  </si>
  <si>
    <t>ΚΑΛΥΒΑΣ</t>
  </si>
  <si>
    <t>ΑΑ433912</t>
  </si>
  <si>
    <t>ΣΑΒΒΑΣ</t>
  </si>
  <si>
    <t>ΚΥΡΙΑΚΟΠΟΥΛΟΣ</t>
  </si>
  <si>
    <t>ΑΕ093908</t>
  </si>
  <si>
    <t>ΧΑΡΑΛΑΜΠΟΣ</t>
  </si>
  <si>
    <t>ΓΕΩΡΓΑΛΗΣ</t>
  </si>
  <si>
    <t>ΑΝ333880</t>
  </si>
  <si>
    <t>ΕΜΜΑΝΟΥΗΛ</t>
  </si>
  <si>
    <t>ΧΑΛΚΙΑΣ</t>
  </si>
  <si>
    <t>ΑΝ195009</t>
  </si>
  <si>
    <t>ΚΩΝΣΤΑΝΤΙΝΟΣ</t>
  </si>
  <si>
    <t>ΠΑΝΑΓΙΩΤΟΠΟΥΛΟΣ</t>
  </si>
  <si>
    <t>ΑΙ008076</t>
  </si>
  <si>
    <t>ΓΚΕΡΑΤΣ</t>
  </si>
  <si>
    <t>ΑΝ840142</t>
  </si>
  <si>
    <t>ΠΑΝΟΡΜΗΤΗΣ</t>
  </si>
  <si>
    <t>ΠΕΤΡΑΚΗΣ</t>
  </si>
  <si>
    <t>ΑΝ929879</t>
  </si>
  <si>
    <t>ΔΗΜΗΤΡΙΟΣ</t>
  </si>
  <si>
    <t>ΧΑΤΖΗΠΑΝΑΓΙΩΤΟΥ</t>
  </si>
  <si>
    <t>ΑΑ086526</t>
  </si>
  <si>
    <t>ΤΣΑΜΗΣ</t>
  </si>
  <si>
    <t>ΑΡ031400</t>
  </si>
  <si>
    <t>ΜΕΡΟΠΗ ΣΑΒΒΙΝΑ</t>
  </si>
  <si>
    <t>ΚΟΣΜΑΙΔΗ</t>
  </si>
  <si>
    <t>ΑΑ074780</t>
  </si>
  <si>
    <t>ΛΕΩΝΙΔΑΣ ΝΙΚΟΛΑΟΣ</t>
  </si>
  <si>
    <t>ΑΣΗΜΑΚΟΠΟΥΛΟΣ</t>
  </si>
  <si>
    <t>ΑΝ311686</t>
  </si>
  <si>
    <t>ΜΙΧΑΗΛ</t>
  </si>
  <si>
    <t>ΜΙΑΟΥΛΗΣ</t>
  </si>
  <si>
    <t>ΑΑ479696</t>
  </si>
  <si>
    <t>ΣΟΦΙΑ</t>
  </si>
  <si>
    <t>ΝΤΟΥΝΗ</t>
  </si>
  <si>
    <t>ΑΑ001257</t>
  </si>
  <si>
    <t>ΣΑΟΥΓΚΟΥ</t>
  </si>
  <si>
    <t>ΕΛΕΥΘΕΡΙΟΣ</t>
  </si>
  <si>
    <t>ΔΟΥΛΓΕΡΑΚΗΣ</t>
  </si>
  <si>
    <t>ΑΝ462775</t>
  </si>
  <si>
    <t>ΜΙΧΑΛΙΤΣΑ ΑΓΓΕΛΙΚΗ</t>
  </si>
  <si>
    <t>ΠΑΤΙΝΙΩΤΗ</t>
  </si>
  <si>
    <t>ΑΒ221542</t>
  </si>
  <si>
    <t>ΙΩΑΝΝΑ ΠΑΝΑΓΙΩΤΑ</t>
  </si>
  <si>
    <t>ΚΑΠΕΤΑΝΑΚΗ</t>
  </si>
  <si>
    <t>ΑΜ971746</t>
  </si>
  <si>
    <t>ΑΡΓΥΡΗΣ</t>
  </si>
  <si>
    <t>ΤΡΟΥΤΣΚΟΣ</t>
  </si>
  <si>
    <t>ΑΡ642398</t>
  </si>
  <si>
    <t>ΗΛΙΑΣ</t>
  </si>
  <si>
    <t>ΑΗ743148</t>
  </si>
  <si>
    <t>ΓΕΩΡΓΙΑ</t>
  </si>
  <si>
    <t>ΜΑΔΕΝΛΙΔΟΥ</t>
  </si>
  <si>
    <t>ΑΜ873284</t>
  </si>
  <si>
    <t>ΓΕΩΡΓΙΟΣ</t>
  </si>
  <si>
    <t>ΝΤΑΒΡΑΝΟΓΛΟΥ</t>
  </si>
  <si>
    <t>ΜΑΛΛΙΟΣ</t>
  </si>
  <si>
    <t>Μ7340</t>
  </si>
  <si>
    <t>ΣΩΤΗΡΙΟΣ</t>
  </si>
  <si>
    <t>ΘΕΟΔΩΡΟΥ</t>
  </si>
  <si>
    <t>ΑΡ522731</t>
  </si>
  <si>
    <t>ΕΥΑΓΓΕΛΟΣ</t>
  </si>
  <si>
    <t>ΙΩΑΝΝΙΔΗΣ</t>
  </si>
  <si>
    <t>ΑΖ293886</t>
  </si>
  <si>
    <t>ΚΑΡΑΓΙΑΝΝΗΣ</t>
  </si>
  <si>
    <t>ΑΜ821707</t>
  </si>
  <si>
    <t>ΕΛΕΥΘΕΡΙΑ</t>
  </si>
  <si>
    <t>ΠΟΥΡΝΑΡΑ</t>
  </si>
  <si>
    <t>ΑΜ820178</t>
  </si>
  <si>
    <t>ΠΑΥΛΟΣ</t>
  </si>
  <si>
    <t>ΤΣΟΛΑΚΙΔΗΣ</t>
  </si>
  <si>
    <t>ΑΗ641855</t>
  </si>
  <si>
    <t>ΓΟΥΡΓΟΥΤΗΣ</t>
  </si>
  <si>
    <t>ΑΚ442117</t>
  </si>
  <si>
    <t>ΜΑΡΙΟΣ</t>
  </si>
  <si>
    <t>ΤΣΟΥΤΣΟΥΛΙΓΚΑΣ</t>
  </si>
  <si>
    <t>ΑΒ125395</t>
  </si>
  <si>
    <t>ΒΑΣΙΛΙΚΗ ΓΕΩΡΓΙΑ</t>
  </si>
  <si>
    <t>ΚΑΛΑΜΟΥΤΣΟΥ</t>
  </si>
  <si>
    <t>ΑΕ254723</t>
  </si>
  <si>
    <t>ΑΛΕΞΑΝΔΡΟΣ</t>
  </si>
  <si>
    <t>ΚΑΠΑΡΟΥΝΑΚΗΣ</t>
  </si>
  <si>
    <t>ΕΥΔΟΚΙΑ</t>
  </si>
  <si>
    <t>ΚΑΡΑΜΠΑΤΖΑΚΗ</t>
  </si>
  <si>
    <t>Χ821830</t>
  </si>
  <si>
    <t>ΜΑΡΙΑ ΑΝΝΑ</t>
  </si>
  <si>
    <t>ΖΗΣΙΜΟΠΟΥΛΟΥ</t>
  </si>
  <si>
    <t>ΑΚ655843</t>
  </si>
  <si>
    <t>ΛΥΡΑΣ</t>
  </si>
  <si>
    <t>ΑΝ080074</t>
  </si>
  <si>
    <t>ΖΩΗ</t>
  </si>
  <si>
    <t>ΛΕΩΝΙΔΑΚΗ</t>
  </si>
  <si>
    <t>ΑΜ824483</t>
  </si>
  <si>
    <t>ΜΑΡΙΑ</t>
  </si>
  <si>
    <t>ΣΕΝΤΖΑ</t>
  </si>
  <si>
    <t>ΑΕ337240</t>
  </si>
  <si>
    <t>ΠΑΝΑΓΙΩΤΗΣ</t>
  </si>
  <si>
    <t>ΒΟΓΙΑΤΖΟΓΛΟΥ</t>
  </si>
  <si>
    <t>ΑΜ558269</t>
  </si>
  <si>
    <t>ΚΩΝΣΤΑΝΤΙΝΟΣ ΠΑΡΗΣ</t>
  </si>
  <si>
    <t>ΠΑΡΛΑΠΑΝΗΣ</t>
  </si>
  <si>
    <t>ΑΤ416205</t>
  </si>
  <si>
    <t>ΑΠΟΣΤΟΛΟΣ</t>
  </si>
  <si>
    <t>ΤΑΨΑΣ</t>
  </si>
  <si>
    <t>ΑΒ423483</t>
  </si>
  <si>
    <t>ΚΟΥΤΣΙΚΟΣ</t>
  </si>
  <si>
    <t>AM326228</t>
  </si>
  <si>
    <t>ΚΛΕΦΤΟΓΙΑΝΝΗ</t>
  </si>
  <si>
    <t>Α00224442</t>
  </si>
  <si>
    <t>ΚΡΕΜΥΔΑΣ</t>
  </si>
  <si>
    <t>ΑΗ522336</t>
  </si>
  <si>
    <t>ΜΕΡΣΙΝΑ</t>
  </si>
  <si>
    <t>ΒΑΦΕΙΔΟΥ</t>
  </si>
  <si>
    <t>ΑΕ130212</t>
  </si>
  <si>
    <t>ΕΡΙΚΑ</t>
  </si>
  <si>
    <t>ΑΡ268700</t>
  </si>
  <si>
    <t>ΟΥΡΑΝΙΑ</t>
  </si>
  <si>
    <t>ΚΛΟΥΚΙΝΑ</t>
  </si>
  <si>
    <t>ΑΒ080733</t>
  </si>
  <si>
    <t>ΚΑΡΡΑΣ</t>
  </si>
  <si>
    <t>Α00206701</t>
  </si>
  <si>
    <t>ΙΩΑΝΝΗΣ ΧΡΗΣΤΟΣ</t>
  </si>
  <si>
    <t>ΠΡΕΒΕΖΑΝΟΣ</t>
  </si>
  <si>
    <t>AM767119</t>
  </si>
  <si>
    <t>ΑΜ706091</t>
  </si>
  <si>
    <t>ΧΑΒΟΣ</t>
  </si>
  <si>
    <t>ΕΛΕΝΗ</t>
  </si>
  <si>
    <t>ΜΑΡΑΜΑΘΑ</t>
  </si>
  <si>
    <t>ΑΚ573150</t>
  </si>
  <si>
    <t>ΙΩΑΝΝΑ</t>
  </si>
  <si>
    <t>ΔΗΜΗΤΡΟΠΟΥΛΟΥ</t>
  </si>
  <si>
    <t>ΑΙ765540</t>
  </si>
  <si>
    <t>ΜΠΑΖΟΠΟΥΛΟΥ</t>
  </si>
  <si>
    <t>ΑΜ402981</t>
  </si>
  <si>
    <t>ΔΙΟΝΥΣΙΟΣ</t>
  </si>
  <si>
    <t>ΒΙΤΩΡΑΤΟΣ</t>
  </si>
  <si>
    <t>ΑΖ704876</t>
  </si>
  <si>
    <t>ΙΩΑΝΝΗΣ ΡΑΦΑΗΛ</t>
  </si>
  <si>
    <t>ΠΑΠΑΔΟΠΟΥΛΟΣ</t>
  </si>
  <si>
    <t>Α00354991</t>
  </si>
  <si>
    <t>ΑΓΙΑΣΣΩΤΗΣ</t>
  </si>
  <si>
    <t>ΑΝ787249</t>
  </si>
  <si>
    <t>ΤΑΛΛΑΡΟΣ</t>
  </si>
  <si>
    <t>ΜΠΟΣΜΟΥ</t>
  </si>
  <si>
    <t>ΑΚ387399</t>
  </si>
  <si>
    <t>ΠΑΠΑΔΗΜΗΤΡΟΠΟΥΛΟΥ</t>
  </si>
  <si>
    <t>ΑΒ289026</t>
  </si>
  <si>
    <t>ΜΑΣΤΟΡΑΚΟΣ</t>
  </si>
  <si>
    <t>ΑΝ269961</t>
  </si>
  <si>
    <t>ΛΥΤΡΑΣ</t>
  </si>
  <si>
    <t>ΑΡ 314477</t>
  </si>
  <si>
    <t>ΘΩΜΑΣ</t>
  </si>
  <si>
    <t>ΒΛΑΧΟΣ</t>
  </si>
  <si>
    <t>ΑΡ332967</t>
  </si>
  <si>
    <t>ΠΑΡΑΣΚΕΥΗ</t>
  </si>
  <si>
    <t>ΤΣΑΝΟΣΙΔΗ</t>
  </si>
  <si>
    <t>ΑΙ290403</t>
  </si>
  <si>
    <t>ΓEΩΡΓΟΣ</t>
  </si>
  <si>
    <t>ΝΙΚΟΛΑΙΔΗΣ</t>
  </si>
  <si>
    <t>ΑΟ392289</t>
  </si>
  <si>
    <t>ΚΑΡΑΤΖΟΓΙΑΝΝΗ</t>
  </si>
  <si>
    <t>ΑΖ218162</t>
  </si>
  <si>
    <t>ΠΑΡΘΕΝΑ</t>
  </si>
  <si>
    <t>ΧΑΡΑΛΑΜΠΙΔΟΥ</t>
  </si>
  <si>
    <t>ΑΗ786209</t>
  </si>
  <si>
    <t>ΒΑΣΙΛΙΚΗ</t>
  </si>
  <si>
    <t>ΣΕΛΛΗΝΑ</t>
  </si>
  <si>
    <t>ΑΜ445763</t>
  </si>
  <si>
    <t>ΜΑΡΙΑΝΝΑ</t>
  </si>
  <si>
    <t>ΤΣΙΟΥΤΣΙΟΥ</t>
  </si>
  <si>
    <t>ΑΕ282044</t>
  </si>
  <si>
    <t>ΚΑΤΣΑΝΟΣ</t>
  </si>
  <si>
    <t>ΣΤΑΘΟΠΟΥΛΟΣ</t>
  </si>
  <si>
    <t>ΑΝ819110</t>
  </si>
  <si>
    <t>ΑΝΔΡΕΑΣ</t>
  </si>
  <si>
    <t>ΠΟΛΥΧΡΟΝΟΠΟΥΛΟΣ</t>
  </si>
  <si>
    <t>ΑΙ210136</t>
  </si>
  <si>
    <t>ΙΩΑΝΝΗΣ ΝΕΚΤΑΡΙΟΣ</t>
  </si>
  <si>
    <t>ΤΣΙΡΟΓΙΑΝΝΗΣ</t>
  </si>
  <si>
    <t>ΓΚΑΡΑΓΚΟΥΝΗ</t>
  </si>
  <si>
    <t>ΑΖ589809</t>
  </si>
  <si>
    <t>ΑΝΤΩΝΙΟΣ</t>
  </si>
  <si>
    <t>ΦΛΟΥΡΟΣ</t>
  </si>
  <si>
    <t>ΑΜ451753</t>
  </si>
  <si>
    <t>ΛΑΒΤΖΗΣ</t>
  </si>
  <si>
    <t>ΑΕ766654</t>
  </si>
  <si>
    <t>ΒΑΣΙΛΙΝΑ</t>
  </si>
  <si>
    <t>ΠΑΠΑΠΕΤΡΟΥ</t>
  </si>
  <si>
    <t>ΑΗ741324</t>
  </si>
  <si>
    <t>ΘΕΟΔΩΡΟΣ ΕΛΛΗΝΑΣ</t>
  </si>
  <si>
    <t>ΚΟΚΚΑΛΑΣ</t>
  </si>
  <si>
    <t>Α00276359</t>
  </si>
  <si>
    <t>ΜΟΥΤΣΙΟΥΛΗΣ</t>
  </si>
  <si>
    <t>ΑΚ428385</t>
  </si>
  <si>
    <t>ΚΩΝΣΤΑΝΤΙΝΑ ΜΑΡΙΑ</t>
  </si>
  <si>
    <t>ΣΤΑΥΡΟΠΟΥΛΟΥ</t>
  </si>
  <si>
    <t>ΑΙ766881</t>
  </si>
  <si>
    <t>ΜΠΖΙΩΤΑΣ</t>
  </si>
  <si>
    <t>ΚΛΥΤΑΙΜΝΗΣΤΡΑ</t>
  </si>
  <si>
    <t>ΣΠΑΛΙΑΡΑ</t>
  </si>
  <si>
    <t>ΑΡ313630</t>
  </si>
  <si>
    <t>ΑΛΕΞΙΑΔΗΣ</t>
  </si>
  <si>
    <t>ΑΡ238779</t>
  </si>
  <si>
    <t>ΡΑΛΛΗΣ</t>
  </si>
  <si>
    <t>ΑΖ580320</t>
  </si>
  <si>
    <t>ΤΣΟΥΚΑΛΑ</t>
  </si>
  <si>
    <t>ΑΝ258516</t>
  </si>
  <si>
    <t>ΒΑΣΙΛΙΚΗ ΧΡΙΣΤΙΝΑ</t>
  </si>
  <si>
    <t>ΑΠΟΣΤΟΛΟΠΟΥΛΟΥ</t>
  </si>
  <si>
    <t>ΑΖ998854</t>
  </si>
  <si>
    <t>ΚΟΛΛΙΟΣ</t>
  </si>
  <si>
    <t>ΑΒ162815</t>
  </si>
  <si>
    <t xml:space="preserve">ΒΑΣΙΛΕΙΟΣ ΑΓΓΕΛΟΣ </t>
  </si>
  <si>
    <t>ΚΟΤΡΩΤΣΟΣ</t>
  </si>
  <si>
    <t>ΑΜ531467</t>
  </si>
  <si>
    <t>ΧΑΛΒΑΤΖΟΓΛΟΥ</t>
  </si>
  <si>
    <t>ΑΡΑΜΠΗ</t>
  </si>
  <si>
    <t>A I 138394</t>
  </si>
  <si>
    <t>ΑΠΟΣΤΟΛΟΥ</t>
  </si>
  <si>
    <t>ΘΕΟΔΩΡΟΣ</t>
  </si>
  <si>
    <t>ΠΙΠΕΡΙΔΗΣ</t>
  </si>
  <si>
    <t>ΔΡΟΣΟΥ</t>
  </si>
  <si>
    <t>ΑΖ241835</t>
  </si>
  <si>
    <t>ΒΕΤΟΥΛΑΚΗΣ</t>
  </si>
  <si>
    <t>ΑΑ369391</t>
  </si>
  <si>
    <t>ΟΛΓΑ</t>
  </si>
  <si>
    <t>ΝΤΕΛΗ</t>
  </si>
  <si>
    <t>Χ874702</t>
  </si>
  <si>
    <t>ΜΠΑΧΑΡΗ</t>
  </si>
  <si>
    <t>ΑΚ068040</t>
  </si>
  <si>
    <t>ΘΕΟΦΙΛΟΣ</t>
  </si>
  <si>
    <t>ΤΣΙΑΜΠΟΥΛΑΣ</t>
  </si>
  <si>
    <t>ΑΚ391588</t>
  </si>
  <si>
    <t>ΜΑΡΙΑ ΑΝΘΗ</t>
  </si>
  <si>
    <t>ΤΑΠΕΙΝΟΥ</t>
  </si>
  <si>
    <t>ΑΕ227685</t>
  </si>
  <si>
    <t>ΙΦΙΓΕΝΕΙΑ</t>
  </si>
  <si>
    <t>ΚΟΤΖΑΜΟΥΡΑΤΟΓΛΟΥ</t>
  </si>
  <si>
    <t>ΑΗ749205</t>
  </si>
  <si>
    <t>ΙΑΣΩΝ ΔΗΜΗΤΡΙΟΣ</t>
  </si>
  <si>
    <t>ΚΥΡΙΑΖΗΣ</t>
  </si>
  <si>
    <t>ΑΝ424184</t>
  </si>
  <si>
    <t>ΒΑΣΙΛΕΙΑΔΟΥ</t>
  </si>
  <si>
    <t>ΠΑΝΑΓΙΩΤΟΠΟΥΛΟΥ</t>
  </si>
  <si>
    <t>ΑΚ221316</t>
  </si>
  <si>
    <t>ΑΡΑΠΟΓΙΑΝΝΗΣ</t>
  </si>
  <si>
    <t>ΑΕ798197</t>
  </si>
  <si>
    <t>ΚΑΡΑΓΙΑΝΝΑΚΟΣ</t>
  </si>
  <si>
    <t>ΑΝ828973</t>
  </si>
  <si>
    <t>ΧΡΥΣΟΥΛΑΚΗΣ</t>
  </si>
  <si>
    <t>ΑΡ247710</t>
  </si>
  <si>
    <t>ΑΘΑΝΑΣΙΟΣ</t>
  </si>
  <si>
    <t>ΧΑΜΗΛΟΣ</t>
  </si>
  <si>
    <t>ΑΙ210617</t>
  </si>
  <si>
    <t>ΛΑΓΔΟΣ</t>
  </si>
  <si>
    <t>ΜΑΛΑΜΟΣ</t>
  </si>
  <si>
    <t>ΑΒ089110</t>
  </si>
  <si>
    <t>ΑΠΟΣΤΟΛΙΔΗΣ</t>
  </si>
  <si>
    <t>ΑΜΑΝΑΤΙΔΗΣ</t>
  </si>
  <si>
    <t>ΑΡ615274</t>
  </si>
  <si>
    <t>ΜΑΡΙΑΝΑΚΗΣ</t>
  </si>
  <si>
    <t>ΑΡ700000</t>
  </si>
  <si>
    <t>ΜΑΡΝΕΡΑ</t>
  </si>
  <si>
    <t>ΑΕ238657</t>
  </si>
  <si>
    <t>ΜΟΥΡΑΤΙΟΣ</t>
  </si>
  <si>
    <t>ΣΕΙΤΑΝΙΔΗΣ</t>
  </si>
  <si>
    <t>ΑΡ334682</t>
  </si>
  <si>
    <t>ΤΖΑΓΚΑΡΑΚΗΣ</t>
  </si>
  <si>
    <t>ΑΒ477353</t>
  </si>
  <si>
    <t>ΚΡΑΤΣΙΩΤΗΣ</t>
  </si>
  <si>
    <t>ΑΗ765161</t>
  </si>
  <si>
    <t>ΑΡΕΤΗ</t>
  </si>
  <si>
    <t>ΜΑΝΩΛΟΠΟΥΛΟΥ</t>
  </si>
  <si>
    <t>ΑΒ758666</t>
  </si>
  <si>
    <t>ΕΥΑΓΓΕΛΙΑ</t>
  </si>
  <si>
    <t>ΚΟΛΟΒΟΥ</t>
  </si>
  <si>
    <t>ΑΑ432071</t>
  </si>
  <si>
    <t>ΑΚ284384</t>
  </si>
  <si>
    <t>ΟΛΥΜΠΙΤΗ</t>
  </si>
  <si>
    <t>ΑΖ446254</t>
  </si>
  <si>
    <t>ΑΡΓΥΡΗ</t>
  </si>
  <si>
    <t>ΑΓΓΕΛΟΠΟΥΛΟΥ</t>
  </si>
  <si>
    <t>ΑΡ967928</t>
  </si>
  <si>
    <t>ΤΣΑΜΠΟΥΚΑΣ</t>
  </si>
  <si>
    <t>ΑΟ864927</t>
  </si>
  <si>
    <t>ΓΙΑΝΤΣΗΣ</t>
  </si>
  <si>
    <t>ΑΖ303558</t>
  </si>
  <si>
    <t>ΚΑΛΟΓΕΡΟΣ</t>
  </si>
  <si>
    <t>ΑΕ922505</t>
  </si>
  <si>
    <t>ΚΑΖΑΣ</t>
  </si>
  <si>
    <t>ΣΤΑΘΟΠΟΥΛΟΥ</t>
  </si>
  <si>
    <t>ΑΤ352529</t>
  </si>
  <si>
    <t>ΜΑΝΔΕΡΗΣ</t>
  </si>
  <si>
    <t>ΑΒ907270</t>
  </si>
  <si>
    <t>ΔΙΑΜΑΝΤΗΣ</t>
  </si>
  <si>
    <t>ΑΑ1000264</t>
  </si>
  <si>
    <t>ΔΗΜΗΤΡΙΟΥ</t>
  </si>
  <si>
    <t>ΜΟΣΧΟΣ</t>
  </si>
  <si>
    <t>ΑΜ792065</t>
  </si>
  <si>
    <t>ΚΑΣΤΡΙΣΙΟΣ</t>
  </si>
  <si>
    <t>ΑΟ529139</t>
  </si>
  <si>
    <t>ΚΑΡΑΚΟΥΛΙΑΣ</t>
  </si>
  <si>
    <t>ΤΣΙΝΑΡΙΔΗΣ</t>
  </si>
  <si>
    <t>ΑΒ100631</t>
  </si>
  <si>
    <t>ΚΕΛΕΣΙΔΗΣ</t>
  </si>
  <si>
    <t>ΑΙ280830</t>
  </si>
  <si>
    <t>ΚΩΣΤΙΔΗΣ</t>
  </si>
  <si>
    <t>ΜΠΑΛΑΟΥΡΑ</t>
  </si>
  <si>
    <t>ΑΜ068530</t>
  </si>
  <si>
    <t>ΑΗ210442</t>
  </si>
  <si>
    <t>ΚΟΥΛΑΜΑΣ</t>
  </si>
  <si>
    <t>ΑΒ337236</t>
  </si>
  <si>
    <t>ΒΙΚΤΩΡΙΑ ΕΛΕΥΘΕΡΙΑ</t>
  </si>
  <si>
    <t>ΜΙΧΑΗΛΟΥ</t>
  </si>
  <si>
    <t>ΑΜ941468</t>
  </si>
  <si>
    <t>ΚΑΤΣΙΚΗ</t>
  </si>
  <si>
    <t>ΑΡ875415</t>
  </si>
  <si>
    <t>ΚΑΤΣΑΡΟΥ</t>
  </si>
  <si>
    <t>ΑΚ646487</t>
  </si>
  <si>
    <t>ΣΤΕΡΓΙΑΝΗ</t>
  </si>
  <si>
    <t>ΜΕΛΙΓΟΝΕΡΗ</t>
  </si>
  <si>
    <t>ΑΝ324845</t>
  </si>
  <si>
    <t>ΤΑΤΙΑΝΗ</t>
  </si>
  <si>
    <t>ΔΕΡΜΙΤΖΑΚΗ</t>
  </si>
  <si>
    <t>ΑΚ238085</t>
  </si>
  <si>
    <t>ΣΤΥΛΙΑΝΗ</t>
  </si>
  <si>
    <t>ΜΑΡΓΑΡΙΤΗ</t>
  </si>
  <si>
    <t>ΑΜ564011</t>
  </si>
  <si>
    <t>ΙΝΤΖΕΒΙΔΟΥ</t>
  </si>
  <si>
    <t>ΑΖ296064</t>
  </si>
  <si>
    <t>ΑΚ391587</t>
  </si>
  <si>
    <t>ΦΛΩΡΟΣ</t>
  </si>
  <si>
    <t>ΑΝ768503</t>
  </si>
  <si>
    <t>ΕΙΡΗΝΗ</t>
  </si>
  <si>
    <t>ΜΠΟΥΖΑΛΑ</t>
  </si>
  <si>
    <t>ΑΕ265947</t>
  </si>
  <si>
    <t>ΣΩΤΗΡΙΑ</t>
  </si>
  <si>
    <t>ΤΣΙΑΚΑΛΟΥ</t>
  </si>
  <si>
    <t>ΑΕ800255</t>
  </si>
  <si>
    <t>ΙΟΡΔΑΝΗΣ</t>
  </si>
  <si>
    <t>ΟΡΦΑΝΟΣ</t>
  </si>
  <si>
    <t>ΑΝ671487</t>
  </si>
  <si>
    <t>ΧΑΡΙΛΑΟΣ</t>
  </si>
  <si>
    <t>ΦΩΤΗΣ</t>
  </si>
  <si>
    <t>ΑΜ782005</t>
  </si>
  <si>
    <t>ΝΙΚΟΛΟΥΔΗΣ</t>
  </si>
  <si>
    <t>ΑΗ340662</t>
  </si>
  <si>
    <t>ΣΙΓΑΛΑΣ</t>
  </si>
  <si>
    <t>ΑΙ0562807</t>
  </si>
  <si>
    <t>ΕΥΣΤΑΘΙΟΣ</t>
  </si>
  <si>
    <t>ΛΙΑΝΟΣ</t>
  </si>
  <si>
    <t>ΑΝ046083</t>
  </si>
  <si>
    <t>ΕΥΔΟΞΙΑ</t>
  </si>
  <si>
    <t>ΠΑΠΑΡΟΥΝΑ</t>
  </si>
  <si>
    <t>ΑΖ242412</t>
  </si>
  <si>
    <t>ΡΕΝΤΖΙΟΥ</t>
  </si>
  <si>
    <t>ΑΝ844504</t>
  </si>
  <si>
    <t>ΞΑΝΘΗΣ</t>
  </si>
  <si>
    <t>ΑΟ978346</t>
  </si>
  <si>
    <t>ΓΚΟΥΝΤΕΛΟΣ</t>
  </si>
  <si>
    <t>ΑΡ364603</t>
  </si>
  <si>
    <t>ΤΣΙΡΚΑ</t>
  </si>
  <si>
    <t>ΑΜ792531</t>
  </si>
  <si>
    <t>ΚΟΥΡΚΟΥΛΟΣ</t>
  </si>
  <si>
    <t>ΑΒ970036</t>
  </si>
  <si>
    <t>ΚΑΛΛΙΟΠΗ ΧΡΙΣΤΙΝΑ</t>
  </si>
  <si>
    <t>ΓΚΑΡΣΙΔΗ</t>
  </si>
  <si>
    <t>ΑΚ967419</t>
  </si>
  <si>
    <t>ΜΙΧΑΗΛΙΔΗΣ</t>
  </si>
  <si>
    <t>ΑΜ634152</t>
  </si>
  <si>
    <t>ΒΕΡΟΝΙΚΑ ΧΑΡΑ</t>
  </si>
  <si>
    <t>ΣΠΗΛΙΟΠΟΥΛΟΥ</t>
  </si>
  <si>
    <t>ΑΜ745480</t>
  </si>
  <si>
    <t>ΧΑΛΚΙΔΗΣ</t>
  </si>
  <si>
    <t>ΑΝ845599</t>
  </si>
  <si>
    <t>ΚΟΛΕΤΣΟΣ</t>
  </si>
  <si>
    <t>ΑΕ326718</t>
  </si>
  <si>
    <t>ΘΕΟΧΑΡΗ</t>
  </si>
  <si>
    <t>ΑΒ854216</t>
  </si>
  <si>
    <t>ΑΝΔΡΕΑΣ ΕΦΡΑΙΜ</t>
  </si>
  <si>
    <t>ΑΙ830837</t>
  </si>
  <si>
    <t>ΛΑΝΤΖΟΥΝΗΣ</t>
  </si>
  <si>
    <t>ΑΝ797278</t>
  </si>
  <si>
    <t>ΑΙΚΑΤΕΡΙΝΗ</t>
  </si>
  <si>
    <t>ΚΑΡΑΝΤΙΝΑΚΗ</t>
  </si>
  <si>
    <t>ΑΗ960848</t>
  </si>
  <si>
    <t>ΤΑΣΟΥΛΑΣ</t>
  </si>
  <si>
    <t>ΑΖ748163</t>
  </si>
  <si>
    <t>ΔΑΜΙΑΝΟΣ</t>
  </si>
  <si>
    <t>ΒΑΣΙΛΕΙΑΔΗΣ</t>
  </si>
  <si>
    <t>ΑΡ615775</t>
  </si>
  <si>
    <t>ΚΟΣΜΑΣ</t>
  </si>
  <si>
    <t>ΑΜ346007</t>
  </si>
  <si>
    <t>ΤΣΙΑΠΑΝΙΤΗΣ</t>
  </si>
  <si>
    <t>ΑΜ420700</t>
  </si>
  <si>
    <t>ΑΘΑΝΑΣΙΑ</t>
  </si>
  <si>
    <t>ΑΛΟΥΣΗ</t>
  </si>
  <si>
    <t>ΑΖ302791</t>
  </si>
  <si>
    <t>ΤΖΟΥΛΙΑ</t>
  </si>
  <si>
    <t>ΜΠΑΛΑΜΠΑΝΙΔΟΥ</t>
  </si>
  <si>
    <t>ΑΖ649055</t>
  </si>
  <si>
    <t>ΓΚΟΥΤΣΟΠΟΥΛΟΣ</t>
  </si>
  <si>
    <t>ΑΝ808294</t>
  </si>
  <si>
    <t>ΑΠΟΣΤΟΛΟΠΟΥΛΟΣ</t>
  </si>
  <si>
    <t>ΑΑ323491</t>
  </si>
  <si>
    <t>ΚΟΥΛΛΙΑΣ</t>
  </si>
  <si>
    <t>ΑΜ567823</t>
  </si>
  <si>
    <t>ΑΜΑΛΙΑ</t>
  </si>
  <si>
    <t>ΚΑΤΖΟΥΡΑΚΗ</t>
  </si>
  <si>
    <t>ΑΗ973787</t>
  </si>
  <si>
    <t>ΖΛΑΤΙΝΗΣ</t>
  </si>
  <si>
    <t>ΙΩΑΝΝΑ ΔΗΜΗΤΡΑ</t>
  </si>
  <si>
    <t>ΠΟΡΤΣΕΛΗ</t>
  </si>
  <si>
    <t>ΑΑ281379</t>
  </si>
  <si>
    <t>ΔΟΥΜΤΣΗΣ</t>
  </si>
  <si>
    <t>ΑΒ868696</t>
  </si>
  <si>
    <t>ΚΑΝΔΥΛΙΩΤΗΣ</t>
  </si>
  <si>
    <t>ΑΒ110066</t>
  </si>
  <si>
    <t>ΘΕΟΔΩΡΙΔΗΣ</t>
  </si>
  <si>
    <t>ΑΤ430124</t>
  </si>
  <si>
    <t>ΠΑΠΑΝΔΡΕΑΣ</t>
  </si>
  <si>
    <t>ΑΖ784229</t>
  </si>
  <si>
    <t>ΚΑΡΛΙΚΟΒΑΛΗΣ</t>
  </si>
  <si>
    <t>ΑΜ212133</t>
  </si>
  <si>
    <t>ΠΑΝΑΓΙΩΤΑ</t>
  </si>
  <si>
    <t>ΚΑΛΑΜΙΔΑ</t>
  </si>
  <si>
    <t>ΑΖ749043</t>
  </si>
  <si>
    <t>ΜΠΕΛΑ</t>
  </si>
  <si>
    <t>ΛΙΝΑΡΔΑΤΟΥ</t>
  </si>
  <si>
    <t>ΑΚ385215</t>
  </si>
  <si>
    <t>ΠΑΥΛΟΥ</t>
  </si>
  <si>
    <t>ΑΚ577380</t>
  </si>
  <si>
    <t>ΖΑΧΑΡΟΥΛΑ</t>
  </si>
  <si>
    <t>ΔΡΟΣΟΠΟΥΛΟΥ</t>
  </si>
  <si>
    <t>ΑΑ321232</t>
  </si>
  <si>
    <t>ΝΤΑΛΑΚΟΥΡΑΣ</t>
  </si>
  <si>
    <t>ΑΡ353452</t>
  </si>
  <si>
    <t>ΜΑΚΡΗ</t>
  </si>
  <si>
    <t>ΑΒ841293</t>
  </si>
  <si>
    <t>ΑΒΡΑΜΙΔΗΣ</t>
  </si>
  <si>
    <t>ΑΡ639285</t>
  </si>
  <si>
    <t>ΤΖΑΛΛΑΣ-ΤΣΑΤΣΗΣ</t>
  </si>
  <si>
    <t>ΑΗ280417</t>
  </si>
  <si>
    <t>ΣΠΗΛΙΟΣ</t>
  </si>
  <si>
    <t>ΚΑΡΑΤΣΑΠΗΣ</t>
  </si>
  <si>
    <t>Χ649313</t>
  </si>
  <si>
    <t>ΦΙΛΙΠΠΟΣ</t>
  </si>
  <si>
    <t>ΑΙ280339</t>
  </si>
  <si>
    <t>ΧΡΙΣΤΟΣ</t>
  </si>
  <si>
    <t>ΜΑΣΙΝΑΣ</t>
  </si>
  <si>
    <t>ΑΑ310435</t>
  </si>
  <si>
    <t>ΘΩΜΑΙΔΑ</t>
  </si>
  <si>
    <t>ΚΟΛΙΟΓΙΑΝΝΗ</t>
  </si>
  <si>
    <t>ΑΝ832653</t>
  </si>
  <si>
    <t>ΠΕΛΑΓΙΑ</t>
  </si>
  <si>
    <t>ΚΑΤΣΙΓΙΝΗ</t>
  </si>
  <si>
    <t>ΑΜ931287</t>
  </si>
  <si>
    <t>ΦΩΤΕΙΝΗ</t>
  </si>
  <si>
    <t>ΤΣΑΚΩΝΑ</t>
  </si>
  <si>
    <t>ΑΑ414471</t>
  </si>
  <si>
    <t>ΤΖΑΜΠΑΖΛΗΣ</t>
  </si>
  <si>
    <t>ΑΝ826254</t>
  </si>
  <si>
    <t>ΡΟΜΦΑΙΑ</t>
  </si>
  <si>
    <t>ΑΗ278489</t>
  </si>
  <si>
    <t>ΚΟΤΣΑΛΙΔΟΥ</t>
  </si>
  <si>
    <t>ΑΡ895475</t>
  </si>
  <si>
    <t>ΜΙΣΕΛ</t>
  </si>
  <si>
    <t>ΑΝ298314</t>
  </si>
  <si>
    <t>ΣΩΤΗΡΟΠΟΥΛΟΣ</t>
  </si>
  <si>
    <t>ΑΙ081962</t>
  </si>
  <si>
    <t>ΠΑΝΤΕΛΕΗΜΩΝ</t>
  </si>
  <si>
    <t>ΕΥΓΕΝΙΑΔΗΣ</t>
  </si>
  <si>
    <t>ΑΚ418074</t>
  </si>
  <si>
    <t>ΧΑΤΖΗΑΝΔΡΕΟΥ</t>
  </si>
  <si>
    <t>ΑΒ298320</t>
  </si>
  <si>
    <t>ΔΙΑΜΑΝΤΑΚΗΣ</t>
  </si>
  <si>
    <t>ΑΑ496861</t>
  </si>
  <si>
    <t>ΓΚΑΛΙΟΣ</t>
  </si>
  <si>
    <t>ΑΚ384730</t>
  </si>
  <si>
    <t>ΚΑΠΠΟΣ</t>
  </si>
  <si>
    <t>ΑΜ186220</t>
  </si>
  <si>
    <t>ΒΛΑΧΑΝΤΩΝΗΣ</t>
  </si>
  <si>
    <t>ΑΒ919283</t>
  </si>
  <si>
    <t>ΠΑΥΛΙΔΗΣ</t>
  </si>
  <si>
    <t>ΑΡΤΟΥΡ</t>
  </si>
  <si>
    <t>ΕΡΓΚΕΝΙΑΝ</t>
  </si>
  <si>
    <t>ΑΝ405979</t>
  </si>
  <si>
    <t>ΜΠΕΤΣΙΚΑΣ</t>
  </si>
  <si>
    <t>ΑΟ084517</t>
  </si>
  <si>
    <t>ΑΝΑΓΝΩΣΤΟΠΟΥΛΟΥ</t>
  </si>
  <si>
    <t>ΑΟ852385</t>
  </si>
  <si>
    <t>ΝΤΕΝΤΟΠΟΥΛΟΣ</t>
  </si>
  <si>
    <t>ΑΕ223217</t>
  </si>
  <si>
    <t>ΒΑΣΣΟΥ</t>
  </si>
  <si>
    <t>ΑΟ 335139</t>
  </si>
  <si>
    <t>ΤΡΑΧΙΛΗ</t>
  </si>
  <si>
    <t>ΑΚ622894</t>
  </si>
  <si>
    <t>ΚΑΤΙΔΗΣ</t>
  </si>
  <si>
    <t>ΑΑ870436</t>
  </si>
  <si>
    <t>ΣΠΥΡΟΣ</t>
  </si>
  <si>
    <t>ΔΟΥΛΜΕΣ</t>
  </si>
  <si>
    <t>ΜΙΧΑΛΗΣ</t>
  </si>
  <si>
    <t>ΦΙΛΙΠΠΟΥ</t>
  </si>
  <si>
    <t>ΑΑ019060</t>
  </si>
  <si>
    <t>ΤΣΑΝΑΚΤΣΟΓΛΟΥ</t>
  </si>
  <si>
    <t>ΑΜ917877</t>
  </si>
  <si>
    <t>ΝΙΚΟΛΕΤΤΑ</t>
  </si>
  <si>
    <t>ΚΟΥΣΟΥΡΕΤΑ</t>
  </si>
  <si>
    <t>ΑΕ344711</t>
  </si>
  <si>
    <t>ΑΓΓΕΛΟΣ ΝΙΚΟΛΑΟΣ</t>
  </si>
  <si>
    <t>ΨΩΦΑΚΗΣ</t>
  </si>
  <si>
    <t>ΑΗ778076</t>
  </si>
  <si>
    <t>ΣΠΥΡΙΔΩΝ</t>
  </si>
  <si>
    <t>ΖΩΗΤΟΣ</t>
  </si>
  <si>
    <t>ΑΜ602371</t>
  </si>
  <si>
    <t>ΑΦΡΟΔΙΤΗ</t>
  </si>
  <si>
    <t>ΑΒΡΑΜΙΔΟΥ</t>
  </si>
  <si>
    <t>ΑΙ198668</t>
  </si>
  <si>
    <t>ΤΣΑΡΤΣΑΡΑΣ</t>
  </si>
  <si>
    <t>ΑΗ416940</t>
  </si>
  <si>
    <t>ΣΑΜΙΔΗΣ</t>
  </si>
  <si>
    <t>ΑΚ683141</t>
  </si>
  <si>
    <t>ΡΑΦΑΗΛ</t>
  </si>
  <si>
    <t>ΧΟΛΕΒΑΣ</t>
  </si>
  <si>
    <t>ΑΜ823667</t>
  </si>
  <si>
    <t>ΣΤΕΦΑΝΙΑ</t>
  </si>
  <si>
    <t>ΚΟΥΡΚΟΥΝΗ</t>
  </si>
  <si>
    <t>ΑΗ771658</t>
  </si>
  <si>
    <t>ΜΑΡΙΝΑ</t>
  </si>
  <si>
    <t>ΚΛΑΓΚΟΥ</t>
  </si>
  <si>
    <t>ΑΜ348156</t>
  </si>
  <si>
    <t>ΦΑΝΗΣ</t>
  </si>
  <si>
    <t>ΓΚΕΚΑΣ</t>
  </si>
  <si>
    <t>ΑΚ404974</t>
  </si>
  <si>
    <t>ΓΚΟΓΚΟΥ</t>
  </si>
  <si>
    <t>ΑΚ383701</t>
  </si>
  <si>
    <t>ΝΙΚΟΛΑΙΔΟΥ</t>
  </si>
  <si>
    <t>ΑΜ859228</t>
  </si>
  <si>
    <t>ΜΑΥΡΟΠΟΥΛΟΣ</t>
  </si>
  <si>
    <t>ΑΡ231073</t>
  </si>
  <si>
    <t>ΠΑΥΛΟΠΟΥΛΟΣ</t>
  </si>
  <si>
    <t>ΑΡ666737</t>
  </si>
  <si>
    <t>ΒΕΡΓΟΣ</t>
  </si>
  <si>
    <t>ΑΖ740135</t>
  </si>
  <si>
    <t>ΞΕΝΙΑ</t>
  </si>
  <si>
    <t>ΠΟΥΓΚΑΤΣΙΟΒΑ</t>
  </si>
  <si>
    <t>ΑΟ215099</t>
  </si>
  <si>
    <t>ΝΤΑΛΛΑΣ</t>
  </si>
  <si>
    <t>ΑΝ565951</t>
  </si>
  <si>
    <t>ΟΘΩΝ</t>
  </si>
  <si>
    <t>ΣΤΟΥΜΠΟΣ</t>
  </si>
  <si>
    <t>ΑΟ727156</t>
  </si>
  <si>
    <t>ΑΘΑΝΑΣΙΟΣ  ΦΑΝΟΥΡΙΟΣ</t>
  </si>
  <si>
    <t>ΚΩΣΤΑΝΑΣΙΟΣ</t>
  </si>
  <si>
    <t>ΑΜ833177</t>
  </si>
  <si>
    <t>ΑΓΓΕΛΟΣ</t>
  </si>
  <si>
    <t>ΠΑΡΚΟΣΙΔΗΣ</t>
  </si>
  <si>
    <t>ΠΑΠΑΣΠΗΛΙΟΠΟΥΛΟΥ</t>
  </si>
  <si>
    <t>ΑΝ807070</t>
  </si>
  <si>
    <t>ΑΜΟΙΡΙΔΗΣ</t>
  </si>
  <si>
    <t>ΑΖ881976</t>
  </si>
  <si>
    <t>ΠΑΠΑΙΩΑΝΝΟΥ</t>
  </si>
  <si>
    <t>ΑΝ346033</t>
  </si>
  <si>
    <t>ΠΑΡΑΛΗ</t>
  </si>
  <si>
    <t>ΑΚ044345</t>
  </si>
  <si>
    <t>ΘΑΝΑΣΙΑΣ</t>
  </si>
  <si>
    <t>ΑΖ980511</t>
  </si>
  <si>
    <t>ΜΟΝΑΣΤΗΡΙΔΟΥ</t>
  </si>
  <si>
    <t>ΑΖ181374</t>
  </si>
  <si>
    <t>ΒΓΕΝΟΠΟΥΛΟΥ</t>
  </si>
  <si>
    <t>ΑΕ061903</t>
  </si>
  <si>
    <t>ΝΕΚΤΑΡΙΟΣ</t>
  </si>
  <si>
    <t>ΤΑΧΛΙΑΜΠΟΥΡΗΣ</t>
  </si>
  <si>
    <t>ΑΙ931735</t>
  </si>
  <si>
    <t>ΒΕΡΖΑΝΛΗ</t>
  </si>
  <si>
    <t>ΑΗ841200</t>
  </si>
  <si>
    <t>ΕΥΘΥΜΙΟΣ</t>
  </si>
  <si>
    <t>ΜΕΛΙΣΣΟΥΡΓΟΣ</t>
  </si>
  <si>
    <t>ΑΚ042222</t>
  </si>
  <si>
    <t>ΚΕΡΔΕΜΕΛΙΔΗΣ</t>
  </si>
  <si>
    <t>ΑΕ334523</t>
  </si>
  <si>
    <t>ΙΝΔΟΣ</t>
  </si>
  <si>
    <t>ΑΡ222512</t>
  </si>
  <si>
    <t>ΕΛΕΟΝΩΡΑ</t>
  </si>
  <si>
    <t>ΝΙΚΟΛΑΟΥ</t>
  </si>
  <si>
    <t>ΑΗ539367</t>
  </si>
  <si>
    <t>ΧΡΙΣΤΙΝΑ</t>
  </si>
  <si>
    <t>ΣΑΒΒΙΔΟΥ</t>
  </si>
  <si>
    <t>ΑΕ126208</t>
  </si>
  <si>
    <t>ΣΤΕΦΑΝΟΣ</t>
  </si>
  <si>
    <t>ΤΣΟΓΙΑΣ</t>
  </si>
  <si>
    <t>ΑΖ271957</t>
  </si>
  <si>
    <t>ΣΑΝΙΔΑ</t>
  </si>
  <si>
    <t>ΑΜ432056</t>
  </si>
  <si>
    <t>ΑΓΛΑΙΑ</t>
  </si>
  <si>
    <t>ΠΙΤΣΟΥΛΗ</t>
  </si>
  <si>
    <t>ΑΖ103786</t>
  </si>
  <si>
    <t>ΑΜ876101</t>
  </si>
  <si>
    <t>ΜΑΝΙΟΥΔΑΚΗΣ</t>
  </si>
  <si>
    <t>ΑΧΙΛΛΕΑΣ</t>
  </si>
  <si>
    <t>ΑΛΕΞΟΥΔΗΣ</t>
  </si>
  <si>
    <t>Α00006749</t>
  </si>
  <si>
    <t>ΠΕΤΡΟΣ</t>
  </si>
  <si>
    <t>ΤΖΩΡΤΖΗΣ</t>
  </si>
  <si>
    <t>ΑΝ518330</t>
  </si>
  <si>
    <t>ΚΟΥΜΑΡΙΔΟΥ</t>
  </si>
  <si>
    <t>ΑΗ381799</t>
  </si>
  <si>
    <t>ΓΚΟΥΝΤΕΒΕΝΟΥ</t>
  </si>
  <si>
    <t>ΝΕΦΕΛΗ</t>
  </si>
  <si>
    <t>ΚΑΛΥΒΗ</t>
  </si>
  <si>
    <t>ΑΝ595726</t>
  </si>
  <si>
    <t>ΘΕΟΔΩΡΑ</t>
  </si>
  <si>
    <t>ΤΣΑΜΠΟΥΡΗ</t>
  </si>
  <si>
    <t>ΑΖ788922</t>
  </si>
  <si>
    <t>ΑΝΤΩΝΙΑ</t>
  </si>
  <si>
    <t>ΠΟΔΟΤΑ</t>
  </si>
  <si>
    <t>ΑΙ433774</t>
  </si>
  <si>
    <t>ΛΑΠΠΑΣ</t>
  </si>
  <si>
    <t>ΑΒ015264</t>
  </si>
  <si>
    <t>ΖΙΑΚΑΣ</t>
  </si>
  <si>
    <t>AK428566</t>
  </si>
  <si>
    <t>ΜΑΡΙΑ ΙΩΑΝΝΑ</t>
  </si>
  <si>
    <t>ΤΡΙΓΩΝΗ</t>
  </si>
  <si>
    <t>ΑΟ720856</t>
  </si>
  <si>
    <t>ΓΕΩΡΓΙΑ ΕΥΑΓΓΕΛΙΑ</t>
  </si>
  <si>
    <t>ΚΕΦΟΥ</t>
  </si>
  <si>
    <t>ΑΝ328553</t>
  </si>
  <si>
    <t>ΧΩΡΙΑΝΟΠΟΥΛΟΥ</t>
  </si>
  <si>
    <t>ΑΒ339245</t>
  </si>
  <si>
    <t>ΤΣΟΜΠΑΝΗΣ</t>
  </si>
  <si>
    <t>ΜΠΑΓΚΑ</t>
  </si>
  <si>
    <t>ΑΕ311568</t>
  </si>
  <si>
    <t>ΖΑΧΑΡΙΑΣ ΧΡΙΣΤΟΦΟΡΟΣ</t>
  </si>
  <si>
    <t>ΣΑΓΑΝΗΣ</t>
  </si>
  <si>
    <t>ΑΝΑΣΤΑΣΙΟΣ</t>
  </si>
  <si>
    <t>ΓΙΑΤΡΑΣ</t>
  </si>
  <si>
    <t>Χ211686</t>
  </si>
  <si>
    <t>ΚΑΛΠΕΝΟΣ</t>
  </si>
  <si>
    <t>ΑΜ050050</t>
  </si>
  <si>
    <t>ΑΝΑΓΝΩΣΤΟΠΟΥΛΟΣ</t>
  </si>
  <si>
    <t>ΑΚ405086</t>
  </si>
  <si>
    <t>ΚΑΡΑΠΑΓΚΟΥ</t>
  </si>
  <si>
    <t>ΑΒ137925</t>
  </si>
  <si>
    <t>ΓΕΩΡΓΙΟΣ ΣΤΥΛΙΑΝΟΣ</t>
  </si>
  <si>
    <t>ΣΤΑΜΠΟΥΛΗΣ</t>
  </si>
  <si>
    <t>ΑΝ384497</t>
  </si>
  <si>
    <t>ΔΟΥΚΑΣ</t>
  </si>
  <si>
    <t>ΑΝ915665</t>
  </si>
  <si>
    <t>ΠΑΠΑΔΑΚΟΣ</t>
  </si>
  <si>
    <t>ΑΒ220053</t>
  </si>
  <si>
    <t>ΜΠΑΤΖΙΟΣ</t>
  </si>
  <si>
    <t>ΑΖ398771</t>
  </si>
  <si>
    <t>ΣΤΕΛΛΑ</t>
  </si>
  <si>
    <t>ΝΤΙΤΣΑ</t>
  </si>
  <si>
    <t>ΑΚ437796</t>
  </si>
  <si>
    <t>ΠΟΛΙΤΗΣ</t>
  </si>
  <si>
    <t>ΑΚ428171</t>
  </si>
  <si>
    <t>ΓΕΩΡΓΙΟΥ</t>
  </si>
  <si>
    <t>ΑΕ976060</t>
  </si>
  <si>
    <t>ΜΠΑΓΙΑΜΗΣ</t>
  </si>
  <si>
    <t>ΑΝ346149</t>
  </si>
  <si>
    <t>ΜΠΙΡΗ</t>
  </si>
  <si>
    <t>ΑΚ145353</t>
  </si>
  <si>
    <t>ΑΝΑΣΤΑΣΙΑ</t>
  </si>
  <si>
    <t>ΧΑΣΑΝΔΡΙΝΟΥ</t>
  </si>
  <si>
    <t>ΑΝ987113</t>
  </si>
  <si>
    <t>ΚΕΛΙΑΦΑΝΟΣ</t>
  </si>
  <si>
    <t>ΑΟ209578</t>
  </si>
  <si>
    <t>ΓΟΥΝΑΡΗΣ</t>
  </si>
  <si>
    <t>ΑΒ213630</t>
  </si>
  <si>
    <t>ΞΕΝΑΚΗ</t>
  </si>
  <si>
    <t>ΑΒ170262</t>
  </si>
  <si>
    <t>ΓΕΡΑΣΙΜΟΣ</t>
  </si>
  <si>
    <t>ΜΑΝΙΑΚΗΣ</t>
  </si>
  <si>
    <t>ΑΑ323984</t>
  </si>
  <si>
    <t>ΑΠΟΣΤΟΛΟΣ ΜΑΡΚΕΤΟΣ</t>
  </si>
  <si>
    <t>ΜΠΟΥΝΤΩΛΑΣ</t>
  </si>
  <si>
    <t>ΑΜ939052</t>
  </si>
  <si>
    <t>ΙΩΑΝΝΑ-ΣΤΑΥΡΟΥΛΑ</t>
  </si>
  <si>
    <t>ΓΑΛΑΝΗ</t>
  </si>
  <si>
    <t>ΑΜ129494</t>
  </si>
  <si>
    <t>ΚΟΖΟΜΠΟΛΗΣ</t>
  </si>
  <si>
    <t>ΑΒ083523</t>
  </si>
  <si>
    <t>ΓΑΒΡΙΑΣ</t>
  </si>
  <si>
    <t>Α00005000</t>
  </si>
  <si>
    <t>ΑΕ344521</t>
  </si>
  <si>
    <t>ΓΕΡΑΓΩΤΗ</t>
  </si>
  <si>
    <t>ΑΜ926141</t>
  </si>
  <si>
    <t>ΑΝΘΗ</t>
  </si>
  <si>
    <t>ΤΣΑΛΟΚΩΣΤΑ</t>
  </si>
  <si>
    <t>ΑΒ410152</t>
  </si>
  <si>
    <t>ΚΩΝΣΤΑΝΤΙΝΟΣ ΔΙΟΝΥΣΙΟΣ</t>
  </si>
  <si>
    <t>ΤΣΙΡΟΠΟΥΛΟΣ</t>
  </si>
  <si>
    <t>ΑΚ401390</t>
  </si>
  <si>
    <t>ΚΑΛΑΦΑΤΗΣ</t>
  </si>
  <si>
    <t>ΑΙ829426</t>
  </si>
  <si>
    <t>ΚΑΠΝΟΠΟΥΛΟΣ</t>
  </si>
  <si>
    <t>ΑΗ355783</t>
  </si>
  <si>
    <t>ΕΛΕΝΗ ΜΑΡΙΝΑ</t>
  </si>
  <si>
    <t>ΗΛΙΑΚΗ</t>
  </si>
  <si>
    <t>ΑΒ481043</t>
  </si>
  <si>
    <t>ΘΩΜΟΠΟΥΛΟΣ</t>
  </si>
  <si>
    <t>ΑΗ356699</t>
  </si>
  <si>
    <t>ΠΑΚΑΚΗΣ</t>
  </si>
  <si>
    <t>Α00020390</t>
  </si>
  <si>
    <t>ΚΟΣΜΙΔΗΣ</t>
  </si>
  <si>
    <t>ΤΣΙΩΝΟΣ</t>
  </si>
  <si>
    <t>ΑΙ615583</t>
  </si>
  <si>
    <t>ΑΗ198512</t>
  </si>
  <si>
    <t>ΣΚΗΠΗΤΑΡΗΣ</t>
  </si>
  <si>
    <t>ΑΙ890733</t>
  </si>
  <si>
    <t>ΑΒ455273</t>
  </si>
  <si>
    <t>ΓΙΕΒΓΚΕΝ</t>
  </si>
  <si>
    <t>ΝΤΑΝΙΛΕΝΚΟ</t>
  </si>
  <si>
    <t>ΑΘΑΝΑΣΙΑΔΗΣ</t>
  </si>
  <si>
    <t>ΑΚ606952</t>
  </si>
  <si>
    <t>ΓΙΩΡΓΟΣ</t>
  </si>
  <si>
    <t>ΠΑΡΠΟΥΛΑΣ</t>
  </si>
  <si>
    <t>ΑΒ113303</t>
  </si>
  <si>
    <t>ΠΑΣΧΑΛΗΣ</t>
  </si>
  <si>
    <t>ΤΣΑΡΔΑΚΗΣ</t>
  </si>
  <si>
    <t>ΑΟ136087</t>
  </si>
  <si>
    <t>ΝΙΚΟΣ</t>
  </si>
  <si>
    <t>ΚΟΝΤΟΓΙΑΝΝΗΣ</t>
  </si>
  <si>
    <t>Α00184109</t>
  </si>
  <si>
    <t>ΘΕΜΕΛΗΣ</t>
  </si>
  <si>
    <t>Α00138333</t>
  </si>
  <si>
    <t>ΑΓΗΣΙΛΑΟΣ</t>
  </si>
  <si>
    <t>ΚΟΥΡΛΕΣΗΣ</t>
  </si>
  <si>
    <t>ΑΙ212355</t>
  </si>
  <si>
    <t>ΓΕΩΡΓΙΑ ΡΑΦΑΕΛΑ</t>
  </si>
  <si>
    <t>ΤΟΚΑ</t>
  </si>
  <si>
    <t>ΑΝ817727</t>
  </si>
  <si>
    <t>ΗΛΙΑΣ ΓΡΗΓΟΡΙΟΣ</t>
  </si>
  <si>
    <t>ΤΟΥΡΑΣΑΝΙΔΗΣ</t>
  </si>
  <si>
    <t>ΑΙ388936</t>
  </si>
  <si>
    <t>ΚΡΕΤΣΗΣ</t>
  </si>
  <si>
    <t>ΑΖ981971</t>
  </si>
  <si>
    <t>ΚΕΙΜΑΛΗΣ</t>
  </si>
  <si>
    <t>ΑΒ100887</t>
  </si>
  <si>
    <t>ΚΩΝΣΤΑΝΤΙΝΑ</t>
  </si>
  <si>
    <t>ΔΙΑΜΑΝΤΗ</t>
  </si>
  <si>
    <t>AT3940052</t>
  </si>
  <si>
    <t>ΧΡΙΣΤΟΦΟΡΟΣ</t>
  </si>
  <si>
    <t>ΠΑΝΑΓΙΩΤΙΔΗΣ</t>
  </si>
  <si>
    <t>ΑΑ390379</t>
  </si>
  <si>
    <t>ΔΙΚΑΡΟΣ</t>
  </si>
  <si>
    <t>ΚΡΙΣΤΙΝΑ</t>
  </si>
  <si>
    <t>ΠΑΠΑΔΟΠΟΥΛΟΥ</t>
  </si>
  <si>
    <t>ΑΖ904971</t>
  </si>
  <si>
    <t>ΠΟΛΑΤΣΙΔΗΣ</t>
  </si>
  <si>
    <t>ΑΝ900174</t>
  </si>
  <si>
    <t>ΜΑΛΑΜΑΤΕΝΙΑ</t>
  </si>
  <si>
    <t>ΤΣΟΜΠΑΝΙΔΟΥ</t>
  </si>
  <si>
    <t>ΑΒ721640</t>
  </si>
  <si>
    <t>ΔΙΑΜΑΝΤΟΠΟΥΛΟΣ</t>
  </si>
  <si>
    <t>ΑΝ795148</t>
  </si>
  <si>
    <t>ΕΦΡΑΙΜ</t>
  </si>
  <si>
    <t>ΠΡΩΤΟΠΑΠΑΣ</t>
  </si>
  <si>
    <t>ΑΜ939009</t>
  </si>
  <si>
    <t>ΔΕΛΗΓΙΑΝΝΗΣ</t>
  </si>
  <si>
    <t>ΑΟ968164</t>
  </si>
  <si>
    <t>ΛΑΓΙΟΣ</t>
  </si>
  <si>
    <t>ΑΑ007612</t>
  </si>
  <si>
    <t>ΕΥΑΓΓΕΛΑΤΟΣ</t>
  </si>
  <si>
    <t>ΑΗ525930</t>
  </si>
  <si>
    <t>ΦΩΣΤΗΡΟΠΟΥΛΟΣ</t>
  </si>
  <si>
    <t>ΑΖ303475</t>
  </si>
  <si>
    <t>ΣΚΟΥΡΑΣ</t>
  </si>
  <si>
    <t>ΑΝ336665</t>
  </si>
  <si>
    <t>ΚΩΝΣΤΑΝΤΙΝΙΑ</t>
  </si>
  <si>
    <t>ΚΑΛΤΣΙΔΟΥ</t>
  </si>
  <si>
    <t>AZ840651</t>
  </si>
  <si>
    <t>ΣΑΡΙΔΑΚΗΣ</t>
  </si>
  <si>
    <t>ΑΝ480543</t>
  </si>
  <si>
    <t>ΠΑΠΟΥΤΣΑΚΗΣ</t>
  </si>
  <si>
    <t>ΑΜ980593</t>
  </si>
  <si>
    <t>ΛΑΜΠΡΟΣ</t>
  </si>
  <si>
    <t>ΖΑΧΑΡΟΣ</t>
  </si>
  <si>
    <t>ΑΗ101136</t>
  </si>
  <si>
    <t>ΘΕΟΣ</t>
  </si>
  <si>
    <t>ΑΚ415523</t>
  </si>
  <si>
    <t>ΑΖ794890</t>
  </si>
  <si>
    <t>ΙΟΥΛΙΑ</t>
  </si>
  <si>
    <t>ΝΕΟΦΥΤΟΥ</t>
  </si>
  <si>
    <t>ΑΝ309573</t>
  </si>
  <si>
    <t>ΓΚΡΙΤΖΑΛΙΩΤΗΣ</t>
  </si>
  <si>
    <t>ΑΕ853506</t>
  </si>
  <si>
    <t>ΕΜΜΑΝΟΥΕΛΑ</t>
  </si>
  <si>
    <t>ΔΑΝΟΥ</t>
  </si>
  <si>
    <t>ΑΒ835196</t>
  </si>
  <si>
    <t>ΛΙΤΣΟΣ</t>
  </si>
  <si>
    <t>ΠΙΣΤΙΟΛΗΣ</t>
  </si>
  <si>
    <t>ΑΗ476622</t>
  </si>
  <si>
    <t>ΨΩΜΙΑΔΗΣ</t>
  </si>
  <si>
    <t>ΜΑΝΕΤΑΣ</t>
  </si>
  <si>
    <t>ΑΝ631926</t>
  </si>
  <si>
    <t>ΚΑΛΛΙΟΠΗ</t>
  </si>
  <si>
    <t>ΧΕΙΛΑΔΑΚΗ</t>
  </si>
  <si>
    <t>ΑΝ133596</t>
  </si>
  <si>
    <t>ΙΩΑΝΝΗΣ ΑΝΤΩΝΙΟΣ</t>
  </si>
  <si>
    <t>ΤΣΙΑΜΗΤΡΟΣ</t>
  </si>
  <si>
    <t>ΤΟΛΗΣ</t>
  </si>
  <si>
    <t>ΑΕ721292</t>
  </si>
  <si>
    <t>ΠΑΝΑΓΙΩΤΗΣ ΡΑΦΑΗΛ</t>
  </si>
  <si>
    <t>ΚΟΣΚΙΝΑΣ</t>
  </si>
  <si>
    <t>ΑΒ394834</t>
  </si>
  <si>
    <t>ΡΕΜΟΥΝΔΟΣ</t>
  </si>
  <si>
    <t>ΑΜ148365</t>
  </si>
  <si>
    <t>ΑΝΤΩΝΟΠΟΥΛΟΣ ΝΤΟΛΓΚΙ</t>
  </si>
  <si>
    <t>ΕΠΟ2014539</t>
  </si>
  <si>
    <t>ΛΑΖΑΡΟΣ</t>
  </si>
  <si>
    <t>ΓΙΑΜΟΥΡΙΔΗΣ</t>
  </si>
  <si>
    <t>ΑΖ788752</t>
  </si>
  <si>
    <t>ΒΑΣΙΛΕΙΑ</t>
  </si>
  <si>
    <t>ΝΙΚΟΛΑΖΑΚΗ</t>
  </si>
  <si>
    <t>ΤΖΗΛΟΣ</t>
  </si>
  <si>
    <t>ΑΜ329382</t>
  </si>
  <si>
    <t>ΘΑΝΑΣΑΙΝΑΣ</t>
  </si>
  <si>
    <t>ΑΙ993394</t>
  </si>
  <si>
    <t>ΣΕΒΑΣΤΗ</t>
  </si>
  <si>
    <t>ΚΑΛΙΔΩΝΗ</t>
  </si>
  <si>
    <t>ΑΗ946891</t>
  </si>
  <si>
    <t>ΚΑΡΑΓΚΙΟΖΟΓΛΟΥ</t>
  </si>
  <si>
    <t>ΑΑ229325</t>
  </si>
  <si>
    <t>ΧΡΥΣΟΒΑΛΑΝΤΗΣ</t>
  </si>
  <si>
    <t>ΔΡΟΣΟΣ</t>
  </si>
  <si>
    <t>ΑΚ982806</t>
  </si>
  <si>
    <t>ΑΙ783954</t>
  </si>
  <si>
    <t>ΜΑΚΡΙΔΟΥ</t>
  </si>
  <si>
    <t>ΜΑΥΡΙΔΑΚΗ</t>
  </si>
  <si>
    <t>ΑΙ474136</t>
  </si>
  <si>
    <t>ΧΡΥΣΟΥΛΑ</t>
  </si>
  <si>
    <t>ΜΠΟΥΛΟΥΚΗ</t>
  </si>
  <si>
    <t>ΑΙ269608</t>
  </si>
  <si>
    <t>ΦΡΕΙΔΕΡΙΚΗ - ΜΑΡΙΑ</t>
  </si>
  <si>
    <t>ΜΠΑΡΜΠΑΤΣΗ</t>
  </si>
  <si>
    <t>ΑΟ263924</t>
  </si>
  <si>
    <t>ΠΥΡΓΑ</t>
  </si>
  <si>
    <t>ΑΝ793324</t>
  </si>
  <si>
    <t>ΜΠΑΚΟΓΙΑΝΝΗ</t>
  </si>
  <si>
    <t>ΑΙ687199</t>
  </si>
  <si>
    <t>ΒΟΥΓΙΑΤΖΗ</t>
  </si>
  <si>
    <t>AI401168</t>
  </si>
  <si>
    <t>ΒΕΝΕΤΙΑ</t>
  </si>
  <si>
    <t>ΚΥΡΙΑΖΗ</t>
  </si>
  <si>
    <t>ΑΟ912008</t>
  </si>
  <si>
    <t>ΚΟΥΤΡΗΣ</t>
  </si>
  <si>
    <t>ΓΟΥΣΙΟΥ</t>
  </si>
  <si>
    <t>ΑΕ337665</t>
  </si>
  <si>
    <t>ΚΑΡΑΜΗΤΡΟΣ</t>
  </si>
  <si>
    <t>ΑΚ428699</t>
  </si>
  <si>
    <t>ΣΟΦΙΑ  ΜΑΥΡΕΤΤΑ</t>
  </si>
  <si>
    <t>ΔΑΓΛΑ</t>
  </si>
  <si>
    <t>Α00087828</t>
  </si>
  <si>
    <t>ΡΟΜΠΟΛΑΣ</t>
  </si>
  <si>
    <t>ΑΙ821047</t>
  </si>
  <si>
    <t>ΜΕΛΙΓΚΑΚΟΣ</t>
  </si>
  <si>
    <t>ΑΙ643842</t>
  </si>
  <si>
    <t>ΠΑΤΕΡΕΛΗΣ</t>
  </si>
  <si>
    <t>ΑΗ706325</t>
  </si>
  <si>
    <t>ΣΤΕΦΑΝΟΥΔΑΚΗΣ</t>
  </si>
  <si>
    <t>ΡΑΦΑΕΛΑ ΟΥΡΑΝΙΑ</t>
  </si>
  <si>
    <t>ΚΟΛΙΟΥ</t>
  </si>
  <si>
    <t>ΑΜ790944</t>
  </si>
  <si>
    <t>ΜΑΝΤΖΑΡΗΣ</t>
  </si>
  <si>
    <t>ΑΙ529458</t>
  </si>
  <si>
    <t>ΚΥΡΙΑΚΗ</t>
  </si>
  <si>
    <t>ΒΛΑΣΙΑΔΟΥ</t>
  </si>
  <si>
    <t>ΑΕ641023</t>
  </si>
  <si>
    <t>ΜΑΤΤΑ</t>
  </si>
  <si>
    <t>ΑΝ849429</t>
  </si>
  <si>
    <t>ΤΣΕΚΕ</t>
  </si>
  <si>
    <t>ΑΟ982741</t>
  </si>
  <si>
    <t>ΜΠΙΝΙΑΡΗΣ</t>
  </si>
  <si>
    <t>AB 575888</t>
  </si>
  <si>
    <t>ΑΡΝΑΟΥΤΗΣ</t>
  </si>
  <si>
    <t>ΑΑ000137</t>
  </si>
  <si>
    <t>ΠΑΡΑΣΙΔΟΥ</t>
  </si>
  <si>
    <t>ΑΚ443116</t>
  </si>
  <si>
    <t>ΑΚΡΙΤΙΔΗΣ</t>
  </si>
  <si>
    <t>ΑΖ790610</t>
  </si>
  <si>
    <t>ΚΟΥΤΣΟΣ</t>
  </si>
  <si>
    <t>ΑΑ263576</t>
  </si>
  <si>
    <t>ΜΠΟΓΙΑΤΖΟΓΛΟΥ</t>
  </si>
  <si>
    <t>ΑΗ879286</t>
  </si>
  <si>
    <t>ΕΥΤΥΧΙΑ</t>
  </si>
  <si>
    <t>ΜΠΑΤΣΑΡΑ</t>
  </si>
  <si>
    <t>ΑΒ117206</t>
  </si>
  <si>
    <t>ΜΑΡΗ</t>
  </si>
  <si>
    <t>ΑΜ350657</t>
  </si>
  <si>
    <t>ΜΙΧΑΛΟΠΟΥΛΟΣ</t>
  </si>
  <si>
    <t>ΑΜ733859</t>
  </si>
  <si>
    <t>ΓΑΡΥΦΑΛΛΙΑ</t>
  </si>
  <si>
    <t>ΒΛΑΧΟΥ</t>
  </si>
  <si>
    <t>ΑΕ784517</t>
  </si>
  <si>
    <t>ΑΛΕΦΑΝΤΟΥ</t>
  </si>
  <si>
    <t>ΑΜ060381</t>
  </si>
  <si>
    <t>ΣΚΑΜΠΑΡΔΩΝΗ</t>
  </si>
  <si>
    <t>ΑΙ521056</t>
  </si>
  <si>
    <t>ΞΗΡΟΜΕΡΙΤΗΣ</t>
  </si>
  <si>
    <t>ΑΖ478041</t>
  </si>
  <si>
    <t>ΕΛΠΙΔΑ</t>
  </si>
  <si>
    <t>ΜΗΤΣΟΥ</t>
  </si>
  <si>
    <t>ΑΚ333003</t>
  </si>
  <si>
    <t>ΜΠΙΣΚΑΝΑΚΗΣ</t>
  </si>
  <si>
    <t>ΑΚ388936</t>
  </si>
  <si>
    <t>ΣΠΕΝΤΣΑΣ</t>
  </si>
  <si>
    <t>ΑΟ938720</t>
  </si>
  <si>
    <t>ΡΕΠΤΣΗ</t>
  </si>
  <si>
    <t>ΑΡ335213</t>
  </si>
  <si>
    <t>ΒΟΥΓΟΓΙΑΝΝΟΠΟΥΛΟΥ</t>
  </si>
  <si>
    <t>ΑΗ134810</t>
  </si>
  <si>
    <t>ΓΙΑΝΝΕΣ</t>
  </si>
  <si>
    <t>ΣΥΜΕΩΝΙΔΗΣ</t>
  </si>
  <si>
    <t>ΑΖ322862</t>
  </si>
  <si>
    <t>ΑΔΑΜΟΥ</t>
  </si>
  <si>
    <t>ΑΡ908681</t>
  </si>
  <si>
    <t>ΓΡΗΓΟΡΙΟΣ</t>
  </si>
  <si>
    <t>ΘΩΜΑΙΔΗΣ</t>
  </si>
  <si>
    <t>ΑΖ307021</t>
  </si>
  <si>
    <t>ΝΑΝΑΔΑΚΗ</t>
  </si>
  <si>
    <t>ΑΚ487041</t>
  </si>
  <si>
    <t>ΧΡΥΣΟΒΑΛΑΝΤΗΣ ΙΩΑΝΝΗ</t>
  </si>
  <si>
    <t>ΚΟΝΤΟΣ</t>
  </si>
  <si>
    <t>ΑΑ978558</t>
  </si>
  <si>
    <t>ΠΕΡΙΣΤΕΡΓΙΑΝΟΣ</t>
  </si>
  <si>
    <t>ΣΑΡΡΗ</t>
  </si>
  <si>
    <t>Χ893672</t>
  </si>
  <si>
    <t>ΠΑΠΑΔΗΜΗΤΡΙΟΥ</t>
  </si>
  <si>
    <t>ΑΙ322295</t>
  </si>
  <si>
    <t>ΜΠΑΛΑΤΟΓΛΟΥ</t>
  </si>
  <si>
    <t>ΑΗ195547</t>
  </si>
  <si>
    <t>ΣΑΟΥΓΚΟΣ</t>
  </si>
  <si>
    <t>ΓΚΑΤΖΟΥΝΑ</t>
  </si>
  <si>
    <t>ΑΚ418457</t>
  </si>
  <si>
    <t>ΓΙΩΤΗΣ</t>
  </si>
  <si>
    <t>ΑΝ036658</t>
  </si>
  <si>
    <t>ΣΠΥΡΟ</t>
  </si>
  <si>
    <t>ΚΟΝΓΚΙΝΗ</t>
  </si>
  <si>
    <t>ΑΜ524413</t>
  </si>
  <si>
    <t>ΜΑΝΙΟΥ</t>
  </si>
  <si>
    <t>ΑΜ397707</t>
  </si>
  <si>
    <t>ΠΑΠΑΓΙΑΝΝΗΣ</t>
  </si>
  <si>
    <t>ΑΝ821430</t>
  </si>
  <si>
    <t>ΚΑΚΙΩΝΗΣ</t>
  </si>
  <si>
    <t>ΑΟ334231</t>
  </si>
  <si>
    <t>ΜΑΝΩΛΑΚΑΚΗΣ</t>
  </si>
  <si>
    <t>ΚΟΥΤΣΟΥΜΠΑΣ</t>
  </si>
  <si>
    <t>ΑΡ900117</t>
  </si>
  <si>
    <t>ΝΑΤΑΛΙΑ ΓΕΩΡΓΙΑ</t>
  </si>
  <si>
    <t>ΛΟΥΡΑΝΔΑΚΗ</t>
  </si>
  <si>
    <t>Α00133124</t>
  </si>
  <si>
    <t>ΕΠΑΜΕΙΝΩΝΔΑΣ</t>
  </si>
  <si>
    <t>ΑΒ084357</t>
  </si>
  <si>
    <t>ΣΤΑΜΑΤΟΥΡΟΣ</t>
  </si>
  <si>
    <t>ΑΒ122158</t>
  </si>
  <si>
    <t>ΜΕΝΕΛΑΟΣ</t>
  </si>
  <si>
    <t>ΛΑΖΑΡΟΥ</t>
  </si>
  <si>
    <t>ΑΙ285480</t>
  </si>
  <si>
    <t>ΠΑΠΑΘΑΝΑΣΙΟΥ</t>
  </si>
  <si>
    <t>ΑΟ499347</t>
  </si>
  <si>
    <t>ΝΙΚΟ ΗΛΙΑΣ</t>
  </si>
  <si>
    <t>ΠΑΠΑΣΤΕΡΓΙΟΥ</t>
  </si>
  <si>
    <t>ΑΜ882856</t>
  </si>
  <si>
    <t>ΒΑΡΜΑΖΗ</t>
  </si>
  <si>
    <t>ΑΗ817151</t>
  </si>
  <si>
    <t>ΒΕΛΙΣΑΡΙΟΣ</t>
  </si>
  <si>
    <t>ΤΣΙΤΟΥΡΙΔΗΣ</t>
  </si>
  <si>
    <t>ΑΟ403080</t>
  </si>
  <si>
    <t>ΣΤΟΥΠΑΣ</t>
  </si>
  <si>
    <t>ΑΖ317333</t>
  </si>
  <si>
    <t>ΠΑΤΕΡΑΣ</t>
  </si>
  <si>
    <t>ΑΕ382035</t>
  </si>
  <si>
    <t>ΜΟΣΧΟΠΟΥΛΟΣ</t>
  </si>
  <si>
    <t>ΑΕ659838</t>
  </si>
  <si>
    <t>ΑΚ981911</t>
  </si>
  <si>
    <t>ΑΘΑΝΑΣΙΟΥ</t>
  </si>
  <si>
    <t>ΑΟ726966</t>
  </si>
  <si>
    <t>ΑΗ786203</t>
  </si>
  <si>
    <t>ΚΟΝΤΑΞΗΣ</t>
  </si>
  <si>
    <t>Χ715972</t>
  </si>
  <si>
    <t>ΑΚ428348</t>
  </si>
  <si>
    <t>ΧΡΥΣΟΣΤΟΜΟΣ</t>
  </si>
  <si>
    <t>ΤΣΑΚΑΣ</t>
  </si>
  <si>
    <t>ΠΑΡΝΑΒΕΛΛΗΣ</t>
  </si>
  <si>
    <t>ΑΜ850353</t>
  </si>
  <si>
    <t>ΔΗΜΗΤΡΑ ΑΓΑΠΗ</t>
  </si>
  <si>
    <t>ΤΣΑΚΝΑΚΗ</t>
  </si>
  <si>
    <t>ΑΗ779230</t>
  </si>
  <si>
    <t>ΦΩΤΙΟΣ</t>
  </si>
  <si>
    <t xml:space="preserve">ΣΓΟΥΡΑΣ </t>
  </si>
  <si>
    <t>Α00057917</t>
  </si>
  <si>
    <t>ΠΑΠΑΓΕΩΡΓΙΟΥ</t>
  </si>
  <si>
    <t>ΑΝ832354</t>
  </si>
  <si>
    <t>ΘΩΜΑΙΣ</t>
  </si>
  <si>
    <t>ΚΑΡΚΑΒΙΛΑ</t>
  </si>
  <si>
    <t>ΧΑΣΚΑΡΗΣ</t>
  </si>
  <si>
    <t>ΜΠΑΝΤΗΣ</t>
  </si>
  <si>
    <t>ΑΟ347432</t>
  </si>
  <si>
    <t>ΧΡΥΣΟΒΑΛΑΝΤΗΣ ΙΩΑΝΝΗΣ</t>
  </si>
  <si>
    <t>ΝΙΚΟΥ</t>
  </si>
  <si>
    <t>ΑΙ261614</t>
  </si>
  <si>
    <t>ΧΑΡΑΛΑΜΠΙΔΗΣ</t>
  </si>
  <si>
    <t>ΑΜ878406</t>
  </si>
  <si>
    <t>ΒΙΚΤΩΡΙΑ</t>
  </si>
  <si>
    <t>ΜΟΣΧΟΥ</t>
  </si>
  <si>
    <t>ΑΡ262759</t>
  </si>
  <si>
    <t>ΓΙΑΝΝΟΥΛΑ</t>
  </si>
  <si>
    <t>ΓΗΤΑ</t>
  </si>
  <si>
    <t>ΑΒ408266</t>
  </si>
  <si>
    <t>ΤΣΑΛΙΚΗΣ</t>
  </si>
  <si>
    <t>ΑΜ931629</t>
  </si>
  <si>
    <t>ΑΝΔΡΙΑΝΑ</t>
  </si>
  <si>
    <t>ΜΑΣΤΡΟΓΙΑΝΝΟΠΟΥΛΟΥ</t>
  </si>
  <si>
    <t>Χ804512</t>
  </si>
  <si>
    <t>ΤΣΙΛΙΝΙΚΟΣ</t>
  </si>
  <si>
    <t>ΑΙ871183</t>
  </si>
  <si>
    <t>ΧΑΤΖΗΜΑΡΚΟΣ</t>
  </si>
  <si>
    <t>ΑΑ369361</t>
  </si>
  <si>
    <t>ΖΑΧΑΡΑΚΗ</t>
  </si>
  <si>
    <t>ΑΖ788375</t>
  </si>
  <si>
    <t>ΣΚΑΛΗΣ</t>
  </si>
  <si>
    <t>ΑΚ608427</t>
  </si>
  <si>
    <t>ΜΠΟΥΓΙΟΥΚΛΗΣ</t>
  </si>
  <si>
    <t>ΑΜ700140</t>
  </si>
  <si>
    <t>ΑΑ412869</t>
  </si>
  <si>
    <t>ΜΟΥΡΚΑΚΗΣ</t>
  </si>
  <si>
    <t>ΑΟ276979</t>
  </si>
  <si>
    <t>ΣΑΒΒΟΥΛΙΔΗΣ</t>
  </si>
  <si>
    <t>ΑΕ334152</t>
  </si>
  <si>
    <t>ΤΣΙΟΥΝΗΣ</t>
  </si>
  <si>
    <t>ΑΝ832911</t>
  </si>
  <si>
    <t>ΓΕΩΡΓΑΣ</t>
  </si>
  <si>
    <t>Α02546396</t>
  </si>
  <si>
    <t>ΜΑΤΣΑ</t>
  </si>
  <si>
    <t>ΑΖ918505</t>
  </si>
  <si>
    <t>ΕΥΦΡΟΣΥΝΗ</t>
  </si>
  <si>
    <t>ΒΑΡΣΑΜΟΥ</t>
  </si>
  <si>
    <t>ΑΒ982374</t>
  </si>
  <si>
    <t>ΤΣΙΟΥΠΡΟΣ</t>
  </si>
  <si>
    <t>ΑΖ764833</t>
  </si>
  <si>
    <t>ΠΕΡΙΣΤΕΡΑ</t>
  </si>
  <si>
    <t>ΠΑΝΑΓΙΩΤΙΔΟΥ</t>
  </si>
  <si>
    <t>ΑΗ290869</t>
  </si>
  <si>
    <t>ΑΝΔΡΕΑΔΑΚΗΣ</t>
  </si>
  <si>
    <t>ΑΜ938675</t>
  </si>
  <si>
    <t>ΚΑΛΥΨΩ</t>
  </si>
  <si>
    <t>ΠΑΠΑΔΙΑ</t>
  </si>
  <si>
    <t>ΑΚ432420</t>
  </si>
  <si>
    <t>ΑΒ628712</t>
  </si>
  <si>
    <t>ΤΖΟΤΖΟΚΟΥ</t>
  </si>
  <si>
    <t>Α00161050</t>
  </si>
  <si>
    <t>Χ731720</t>
  </si>
  <si>
    <t>ΧΡΙΣΤΙΝΑ ΜΑΡΙΑ</t>
  </si>
  <si>
    <t>ΒΑΒΑΡΟΥΤΣΟΥ</t>
  </si>
  <si>
    <t>ΑΙ793516</t>
  </si>
  <si>
    <t>ΒΛΑΣΙΔΗΣ</t>
  </si>
  <si>
    <t>ΑΡ585794</t>
  </si>
  <si>
    <t>ΚΥΔΩΝΙΕΥΣ</t>
  </si>
  <si>
    <t>ΑΚ792568</t>
  </si>
  <si>
    <t>ΣΤΑΜΑΤΗ</t>
  </si>
  <si>
    <t>ΑΚ354167</t>
  </si>
  <si>
    <t>ΧΡΙΣΤΙΝΑ ΑΣΗΜΙΝΑ</t>
  </si>
  <si>
    <t>ΜΠΙΜΗ</t>
  </si>
  <si>
    <t>Χ711457</t>
  </si>
  <si>
    <t>ΚΩΝΣΤΑΝΤΙΝΙΔΗΣ</t>
  </si>
  <si>
    <t>ΑΡ547370</t>
  </si>
  <si>
    <t>ΚΑΡΑΜΑΛΑΚΗΣ</t>
  </si>
  <si>
    <t>AI954127</t>
  </si>
  <si>
    <t>ΜΥΛΩΝΑΣ</t>
  </si>
  <si>
    <t>ΑΟ329277</t>
  </si>
  <si>
    <t>ΧΡΗΣΤΟΣ ΔΗΜΗΤΡΙΟΣ</t>
  </si>
  <si>
    <t>ΜΑΡΤΙΝΗΣ</t>
  </si>
  <si>
    <t>ΧΑΡΙΚΛΕΙΑ ΜΑΡΙΑ</t>
  </si>
  <si>
    <t>ΤΕΡΖΗ</t>
  </si>
  <si>
    <t>ΑΚ350674</t>
  </si>
  <si>
    <t>ΚΛΕΟΝΙΚΗ</t>
  </si>
  <si>
    <t>ΔΗΜΗΤΡΑΚΟΠΟΥΛΟΥ</t>
  </si>
  <si>
    <t>ΑΖ893657</t>
  </si>
  <si>
    <t>ΚΑΤΣΑΝΤΟΥΡΑΣ</t>
  </si>
  <si>
    <t>ΑΝ424452</t>
  </si>
  <si>
    <t>ΑΓΓΕΛΟΣ ΧΡΥΣΟΒΑΛΑΝΤΗ</t>
  </si>
  <si>
    <t>ΚΕΡΚΕΝΗΣ</t>
  </si>
  <si>
    <t>ΑΕ793053</t>
  </si>
  <si>
    <t>ΦΡΑΝΤΖΙΣΚΟΣ</t>
  </si>
  <si>
    <t>ΔΗΜΗΤΡΙΑΔΗΣ</t>
  </si>
  <si>
    <t>ΑΕ344809</t>
  </si>
  <si>
    <t>ΜΑΡΚΟΥ</t>
  </si>
  <si>
    <t>ΑΖ302209</t>
  </si>
  <si>
    <t>ΧΑΡΙΤΟΥ</t>
  </si>
  <si>
    <t>ΑΕ746141</t>
  </si>
  <si>
    <t>ΜΠΑΤΑΡΛΗΣ</t>
  </si>
  <si>
    <t>ΠΑΠΑΘΕΟΧΑΡΗΣ</t>
  </si>
  <si>
    <t>ΑΜ393359</t>
  </si>
  <si>
    <t>ΑΒ995292</t>
  </si>
  <si>
    <t>ΤΡΙΑΝΤΑΦΥΛΛΟΠΟΥΛΟΣ</t>
  </si>
  <si>
    <t>ΑΜ999477</t>
  </si>
  <si>
    <t>ΔΗΜΗΤΡΙΟΣ ΜΑΡΙΟΣ</t>
  </si>
  <si>
    <t>ΣΑΜΑΛΕΤΗΣ</t>
  </si>
  <si>
    <t>ΑΕ055868</t>
  </si>
  <si>
    <t>ΠΛΑΤΩΝ</t>
  </si>
  <si>
    <t>ΤΣΙΚΝΙΖΙΔΗΣ</t>
  </si>
  <si>
    <t>ΑΙ564187</t>
  </si>
  <si>
    <t>ΠΑΝΤΟΣ</t>
  </si>
  <si>
    <t>ΑΖ704109</t>
  </si>
  <si>
    <t>ΠΑΝΤΕΛΗΣ</t>
  </si>
  <si>
    <t>ΚΑΡΚΑΝΟΠΟΥΛΟΣ</t>
  </si>
  <si>
    <t>Χ835490</t>
  </si>
  <si>
    <t>ΓΙΟΥΔΑΣ</t>
  </si>
  <si>
    <t>ΑΜ273559</t>
  </si>
  <si>
    <t>ΜΑΣΤΟΡΗΣ</t>
  </si>
  <si>
    <t>ΑΗ601255</t>
  </si>
  <si>
    <t xml:space="preserve">ΑΚ488257  </t>
  </si>
  <si>
    <t>ΚΙΜΩΝΑΣ ΙΩΣΗΦ</t>
  </si>
  <si>
    <t>ΚΩΣΤΗΣ</t>
  </si>
  <si>
    <t>ΚΩΝΣΤΑΝΤΙΝΟΣ ΓΡΗΓΟΡΙ</t>
  </si>
  <si>
    <t>ΧΟΥΧΟΥΝΙΚΟΣ</t>
  </si>
  <si>
    <t>ΑΗ278980</t>
  </si>
  <si>
    <t>ΑΡΙΣΤΕΙΔΗΣ</t>
  </si>
  <si>
    <t>ΣΙΔΗΡΟΠΟΥΛΟΣ ΜΑΥΡΟΠΟΥΛΟΣ</t>
  </si>
  <si>
    <t>Α00190167</t>
  </si>
  <si>
    <t>ΜΑΥΡΙΚΟΣ</t>
  </si>
  <si>
    <t>ΑΗ763486</t>
  </si>
  <si>
    <t>ΤΖΙΡΑΚΗΣ</t>
  </si>
  <si>
    <t>ΑΗ442263</t>
  </si>
  <si>
    <t>ΓΟΥΣΙΑ</t>
  </si>
  <si>
    <t>ΑΝ446064</t>
  </si>
  <si>
    <t>ΚΟΥΤΡΟΥΜΑΝΗΣ</t>
  </si>
  <si>
    <t>AB037837</t>
  </si>
  <si>
    <t>ΑΙΜΙΛΙΑ</t>
  </si>
  <si>
    <t>ΑΛΕΥΡΑ</t>
  </si>
  <si>
    <t>ΑΖ265575</t>
  </si>
  <si>
    <t>ΓΡΥΦΑΚΗΣ</t>
  </si>
  <si>
    <t>ΑΚ740305</t>
  </si>
  <si>
    <t>ΧΡΥΣΙΚΟΥ</t>
  </si>
  <si>
    <t>ΑΡ885440</t>
  </si>
  <si>
    <t>ΑΔΑΜ</t>
  </si>
  <si>
    <t>ΑΖ766426</t>
  </si>
  <si>
    <t>ΜΙΛΤΙΑΔΗΣ</t>
  </si>
  <si>
    <t>ΧΑΨΑΣ</t>
  </si>
  <si>
    <t>ΑΒ420054</t>
  </si>
  <si>
    <t>ΖΟΡΜΠΑΣ</t>
  </si>
  <si>
    <t>ΑΙ121532</t>
  </si>
  <si>
    <t>ΑΝΝΑ ΜΑΡΙΑ</t>
  </si>
  <si>
    <t>ΜΠΛΑΤΣΙΟΥ</t>
  </si>
  <si>
    <t>ΑΜ349412</t>
  </si>
  <si>
    <t>ΔΟΞΑΚΗΣ</t>
  </si>
  <si>
    <t>ΑΙ972620</t>
  </si>
  <si>
    <t>ΣΤΡΑΝΤΖΑΛΗΣ</t>
  </si>
  <si>
    <t>ΑΝ346563</t>
  </si>
  <si>
    <t>ΜΗΝΑ</t>
  </si>
  <si>
    <t>ΠΑΝΑΓΙΩΤΙΝΟΥ</t>
  </si>
  <si>
    <t>ΑΗ993966</t>
  </si>
  <si>
    <t>ΝΑΤΑΛΙΑ</t>
  </si>
  <si>
    <t>ΧΡΗΣΤΟΥ</t>
  </si>
  <si>
    <t>ΑΜ389676</t>
  </si>
  <si>
    <t>ΤΣΙΜΤΣΙΡΗ</t>
  </si>
  <si>
    <t>AB723935</t>
  </si>
  <si>
    <t>ΤΣΑΚΜΑΚΗΣ</t>
  </si>
  <si>
    <t>AN830333</t>
  </si>
  <si>
    <t>ΒΑΙΑ</t>
  </si>
  <si>
    <t>ΖΙΩΓΑ</t>
  </si>
  <si>
    <t>ΑΑ432505</t>
  </si>
  <si>
    <t>ΑΜΑΡΑΝΤΟΣ</t>
  </si>
  <si>
    <t>ΑΟ503875</t>
  </si>
  <si>
    <t>ΣΤΑΥΡΟΥΛΑ</t>
  </si>
  <si>
    <t>ΜΩΡΑΙΤΗ</t>
  </si>
  <si>
    <t>Χ778646</t>
  </si>
  <si>
    <t>ΠΡΙΝΤΕΖΗΣ</t>
  </si>
  <si>
    <t>ΑΡ451487</t>
  </si>
  <si>
    <t>ΑΡΓΥΡΩ</t>
  </si>
  <si>
    <t>ΤΣΙΡΙΜΩΚΟΥ</t>
  </si>
  <si>
    <t>AN258444</t>
  </si>
  <si>
    <t>ΜΑΡΓΑΡΙΤΗΣ</t>
  </si>
  <si>
    <t>ΣΚΟΥΛΤΣΟΣ</t>
  </si>
  <si>
    <t>ΜΑΛΙΩΚΑ</t>
  </si>
  <si>
    <t>ΚΑΛΑΜΠΑΛΙΚΗ</t>
  </si>
  <si>
    <t>Χ875369</t>
  </si>
  <si>
    <t>ΑΓΓΕΛΙΚΗ</t>
  </si>
  <si>
    <t>ΕΥΑΓΓΕΛΙΔΗ</t>
  </si>
  <si>
    <t>Α00164148</t>
  </si>
  <si>
    <t>ΤΣΕΛΕΡΙΔΗΣ</t>
  </si>
  <si>
    <t>ΑΚ575746</t>
  </si>
  <si>
    <t>ΤΣΟΜΠΑΝΕΛΛΗΣ</t>
  </si>
  <si>
    <t>ΑΗ434512</t>
  </si>
  <si>
    <t>ΑΡ364265</t>
  </si>
  <si>
    <t>ΚΟΥΤΣΟΚΟΛΑΚΗΣ</t>
  </si>
  <si>
    <t>ΑΜ583861</t>
  </si>
  <si>
    <t>ΑΕ340123</t>
  </si>
  <si>
    <t>ΤΣΟΜΠΑΝΟΠΟΥΛΟΥ</t>
  </si>
  <si>
    <t>ΑΜ404087</t>
  </si>
  <si>
    <t>ΝΤΕΝΤΕΣ</t>
  </si>
  <si>
    <t>ΑΜ351339</t>
  </si>
  <si>
    <t>ΦΙΛΚΑΣ</t>
  </si>
  <si>
    <t>ΑΒ110273</t>
  </si>
  <si>
    <t>ΑΕ338071</t>
  </si>
  <si>
    <t>ΜΑΡΘΑ</t>
  </si>
  <si>
    <t>ΚΑΙΜΑΚΑΜΗ</t>
  </si>
  <si>
    <t>ΒΑΛΣΑΜΑΚΗ</t>
  </si>
  <si>
    <t>ΑΟ1783616</t>
  </si>
  <si>
    <t>ΣΑΧΣΑΝΙΔΗΣ</t>
  </si>
  <si>
    <t>ΑΡΕΤΗ-ΧΡΙΣΤΙΝΑ</t>
  </si>
  <si>
    <t>ΑΓΓΕΛΟΥ</t>
  </si>
  <si>
    <t>ΑΑ851249</t>
  </si>
  <si>
    <t>ΙΝΓΚΡΙΝΤ</t>
  </si>
  <si>
    <t>ΝΙΚΟΛΑ</t>
  </si>
  <si>
    <t>ΑΚ989459</t>
  </si>
  <si>
    <t>ΚΑΡΑΓΙΑΝΝΗ</t>
  </si>
  <si>
    <t>ΑΑ789946</t>
  </si>
  <si>
    <t>ΠΕΛΤΕΚΗΣ</t>
  </si>
  <si>
    <t>ΑΜ832439</t>
  </si>
  <si>
    <t>ΚΩΝΣΤΑΝΤΟΠΟΥΛΟΣ</t>
  </si>
  <si>
    <t>ΑΕ516344</t>
  </si>
  <si>
    <t>ΚΟΥΤΛΑΚΗ</t>
  </si>
  <si>
    <t>ΑΜ448632</t>
  </si>
  <si>
    <t>ΚΟΛΛΑΣ</t>
  </si>
  <si>
    <t>ΜΑΝΤΑΡΑΣ</t>
  </si>
  <si>
    <t>ΑΖ979601</t>
  </si>
  <si>
    <t>ΓΚΙΝΑ</t>
  </si>
  <si>
    <t>ΑΕ354669</t>
  </si>
  <si>
    <t>ΣΑΡΚΑΤΖΗΣ</t>
  </si>
  <si>
    <t>ΑΜ878373</t>
  </si>
  <si>
    <t>ΤΣΑΠΑΡΑΣ</t>
  </si>
  <si>
    <t>ΑΜ 692841</t>
  </si>
  <si>
    <t>ΑΝ856445</t>
  </si>
  <si>
    <t>ΓΛΥΚΕΡΙΑ</t>
  </si>
  <si>
    <t>ΛΑΜΠΡΟΥΣΗ</t>
  </si>
  <si>
    <t>ΑΗ248105</t>
  </si>
  <si>
    <t>ΑΡΤΕΜΙΣ</t>
  </si>
  <si>
    <t>ΓΑΖΕΤΑ</t>
  </si>
  <si>
    <t>ΑΑ392709</t>
  </si>
  <si>
    <t>ΜΠΑΞΙΒΑΝΗΣ</t>
  </si>
  <si>
    <t>ΓΙΑΝΝΟΥΛΗΣ</t>
  </si>
  <si>
    <t>ΑΜ792766</t>
  </si>
  <si>
    <t>ΚΛΕΙΔΑΡΑ</t>
  </si>
  <si>
    <t>Α00327066</t>
  </si>
  <si>
    <t>ΚΑΤΑΚΗ</t>
  </si>
  <si>
    <t>ΑΚ481542</t>
  </si>
  <si>
    <t>ΑΙ453459</t>
  </si>
  <si>
    <t>ΑΡΙΣΤΕΑ</t>
  </si>
  <si>
    <t>ΠΑΠΑΣΠΥΡΟΠΟΥΛΟΥ</t>
  </si>
  <si>
    <t>ΑΖ206203</t>
  </si>
  <si>
    <t>ΜΙΧΑΗΛ ΓΕΝΝΑΔΙΟΣ</t>
  </si>
  <si>
    <t>ΤΣΟΤΟΥΛΙΔΗΣ</t>
  </si>
  <si>
    <t>ΑΜ425665</t>
  </si>
  <si>
    <t>ΦΑΡΜΑΚΗΣ</t>
  </si>
  <si>
    <t>ΑΤ3735248</t>
  </si>
  <si>
    <t>ΚΑΡΠΑΘΑΚΗ</t>
  </si>
  <si>
    <t>ΑΒ950615</t>
  </si>
  <si>
    <t>ΟΡΦΑΝΙΔΗΣ</t>
  </si>
  <si>
    <t>ΑΗ393487</t>
  </si>
  <si>
    <t>ΓΕΡΟΚΟΥΝΑ</t>
  </si>
  <si>
    <t>ΑΚ652958</t>
  </si>
  <si>
    <t>ΚΑΒΟΥΡΙΔΟΥ</t>
  </si>
  <si>
    <t>ΑΗ291741</t>
  </si>
  <si>
    <t>ΑΜ040951</t>
  </si>
  <si>
    <t>ΣΚΡΑΠΑΛΗ</t>
  </si>
  <si>
    <t>ΑΖ814022</t>
  </si>
  <si>
    <t>ΜΑΡΙΝΟΣ</t>
  </si>
  <si>
    <t>ΚΑΛΗΣ</t>
  </si>
  <si>
    <t>ΑΡ479153</t>
  </si>
  <si>
    <t>ΙΩΑΝΝΑ ΣΕΒΑΣΤΗ</t>
  </si>
  <si>
    <t>ΣΧΩΡΤΣΑΝΙΤΗ</t>
  </si>
  <si>
    <t>ΑΕ282995</t>
  </si>
  <si>
    <t>ΛΥΔΙΑ</t>
  </si>
  <si>
    <t>ΠΑΠΠΑ</t>
  </si>
  <si>
    <t>ΑΙ816832</t>
  </si>
  <si>
    <t>ΜΗΛΙΑΡΕΣΗΣ</t>
  </si>
  <si>
    <t>ΑΚ701960</t>
  </si>
  <si>
    <t>ΠΑΠΑΛΙΑΓΚΑΣ</t>
  </si>
  <si>
    <t>ΑΗ692391</t>
  </si>
  <si>
    <t>ΧΑΣΑΠΗΣ</t>
  </si>
  <si>
    <t>ΑΚ446734</t>
  </si>
  <si>
    <t>ΒΕΛΩΝΗΣ</t>
  </si>
  <si>
    <t>ΑΒ104348</t>
  </si>
  <si>
    <t>ΑΜ299073</t>
  </si>
  <si>
    <t>ΜΑΚΡΗΣ</t>
  </si>
  <si>
    <t>ΠΑΣΧΑΛΙΝΑ</t>
  </si>
  <si>
    <t>ΚΑΡΑΜΗΤΡΟΥ</t>
  </si>
  <si>
    <t>ΑΟ402055</t>
  </si>
  <si>
    <t>ΠΙΚΡΟΣ</t>
  </si>
  <si>
    <t>ΑΖ762577</t>
  </si>
  <si>
    <t>ΜΙΧΟΣ</t>
  </si>
  <si>
    <t>ΑΗ286611</t>
  </si>
  <si>
    <t>ΘΕΟΦΑΝΗΣ</t>
  </si>
  <si>
    <t>ΜΠΑΔΑΣ</t>
  </si>
  <si>
    <t>AO931283</t>
  </si>
  <si>
    <t>ΚΥΡΙΤΣΗΣ</t>
  </si>
  <si>
    <t>ΑΖ285462</t>
  </si>
  <si>
    <t>ΚΑΡΑΛΗΣ</t>
  </si>
  <si>
    <t>ΑΗ092344</t>
  </si>
  <si>
    <t>ΑΕ038464</t>
  </si>
  <si>
    <t>ΔΙΟΝΥΣΟΠΟΥΛΟΣ</t>
  </si>
  <si>
    <t>ΑΝ589020</t>
  </si>
  <si>
    <t>ΜΠΟΥΖΙΚΑΚΟΣ</t>
  </si>
  <si>
    <t>ΑΑ040534</t>
  </si>
  <si>
    <t>ΖΑΡΚΑΔΟΥΛΑ</t>
  </si>
  <si>
    <t>Α00027989</t>
  </si>
  <si>
    <t>ΑΦΑΛΙΔΗΣ</t>
  </si>
  <si>
    <t>ΑΗ570104</t>
  </si>
  <si>
    <t>ΜΠΟΥΛΟΥΚΗΣ</t>
  </si>
  <si>
    <t>ΑΚ355480</t>
  </si>
  <si>
    <t>ΣΤΑΜΑΤΙΟΣ</t>
  </si>
  <si>
    <t>ΡΩΜΑΙΟΣ</t>
  </si>
  <si>
    <t>ΑΑ093635</t>
  </si>
  <si>
    <t>ΤΣΟΥΜΠΑΣ</t>
  </si>
  <si>
    <t>ΑΜ230717</t>
  </si>
  <si>
    <t>ΜΗΝΑΔΑΚΗΣ</t>
  </si>
  <si>
    <t>ΑΖ465364</t>
  </si>
  <si>
    <t>ΝΙΚΟΛΟΠΟΥΛΟΣ-ΠΑΠΟΥΛΙΑΣ</t>
  </si>
  <si>
    <t>Α00261791</t>
  </si>
  <si>
    <t>ΧΑΡΜΑΝΤΑΣ</t>
  </si>
  <si>
    <t>ΑΖ209330</t>
  </si>
  <si>
    <t>ΚΑΡΑΙΣΚΟΣ</t>
  </si>
  <si>
    <t>ΑΝ997251</t>
  </si>
  <si>
    <t>ΑΝ136682</t>
  </si>
  <si>
    <t>ΑΡΒΥΘΗΣ</t>
  </si>
  <si>
    <t>ΑΟ372887</t>
  </si>
  <si>
    <t>ΠΑΝΑΓΙΩΤΑ ΒΑΣΙΛΙΚΗ</t>
  </si>
  <si>
    <t>ΤΣΑΓΚΑΡΗ</t>
  </si>
  <si>
    <t>AZ236633</t>
  </si>
  <si>
    <t>ΚΛΑΥΔΙΑΝΟΥ</t>
  </si>
  <si>
    <t>ΑΟ0232557</t>
  </si>
  <si>
    <t>ΚΑΛΛΙΟΠΗ ΜΑΡΙΑ</t>
  </si>
  <si>
    <t>ΣΑΚΕΛΛΑΡΙΟΥ</t>
  </si>
  <si>
    <t>ΑΚ460388</t>
  </si>
  <si>
    <t>ΚΟΚΚΙΝΟΣ</t>
  </si>
  <si>
    <t>ΑΚ828215</t>
  </si>
  <si>
    <t>ΚΑΡΑΓΙΑΝΝΑΚΟΥ</t>
  </si>
  <si>
    <t>AZ790450</t>
  </si>
  <si>
    <t>ΣΔΟΥΓΚΟΣ</t>
  </si>
  <si>
    <t>ΑΡ369396</t>
  </si>
  <si>
    <t>ΟΥΤΣΙΟΣ</t>
  </si>
  <si>
    <t>ΑΜ424385</t>
  </si>
  <si>
    <t>ΑΔΑΜΑΝΤΙΔΟΥ</t>
  </si>
  <si>
    <t>ΑΝ830349</t>
  </si>
  <si>
    <t>ΚΟΥΝΤΟΥΡΑΤΖΗ</t>
  </si>
  <si>
    <t>ΑΙ386877</t>
  </si>
  <si>
    <t>ΠΛΙΑΤΣΙΚΑΣ</t>
  </si>
  <si>
    <t>Α00306459</t>
  </si>
  <si>
    <t>ΚΟΤΖΑΜΠΑΣΗΣ</t>
  </si>
  <si>
    <t>ΑΟ593337</t>
  </si>
  <si>
    <t>ΜΑΥΡΑΓΑΝΗΣ</t>
  </si>
  <si>
    <t>ΑΜ227002</t>
  </si>
  <si>
    <t>ΑΖ441730</t>
  </si>
  <si>
    <t>ΕΥΤΕΡΠΗ</t>
  </si>
  <si>
    <t>ΑΝΤΩΝΙΟΥ</t>
  </si>
  <si>
    <t>ΑΒ601075</t>
  </si>
  <si>
    <t>ΖΟΥΜΠΟΥΡΛΗΣ</t>
  </si>
  <si>
    <t>ΑΜ393607</t>
  </si>
  <si>
    <t>ΚΟΛΟΒΑΚΗΣ</t>
  </si>
  <si>
    <t>ΑΜ195213</t>
  </si>
  <si>
    <t>ΖΩΤΟΣ</t>
  </si>
  <si>
    <t>Χ864965</t>
  </si>
  <si>
    <t>ΚΑΤΣΑΙΤΗΣ</t>
  </si>
  <si>
    <t>ΑΕ233992</t>
  </si>
  <si>
    <t>ΒΑΡΣΟΣ</t>
  </si>
  <si>
    <t>ΑΝ082351</t>
  </si>
  <si>
    <t>ΑΝΘΟΥΛΑ</t>
  </si>
  <si>
    <t>ΜΕΣΣΗΝΗ</t>
  </si>
  <si>
    <t>ΑΟ913339</t>
  </si>
  <si>
    <t>ΑΡΒΑΝΙΤΗ</t>
  </si>
  <si>
    <t>ΑΝ026017</t>
  </si>
  <si>
    <t>ΦΡΟΙΞΟΣ</t>
  </si>
  <si>
    <t>ΝΙΚΗΤΟΓΛΟΥ</t>
  </si>
  <si>
    <t>ΑΚ299167</t>
  </si>
  <si>
    <t>ΛΥΔΑΚΗΣ</t>
  </si>
  <si>
    <t>ΑΗ959355</t>
  </si>
  <si>
    <t>ΜΠΟΥΝΟΣ</t>
  </si>
  <si>
    <t>ΑΜ340257</t>
  </si>
  <si>
    <t>ΣΥΓΓΕΛΗ</t>
  </si>
  <si>
    <t>ΑΜ423612</t>
  </si>
  <si>
    <t>ΒΙΚΕΛΙΔΗΣ</t>
  </si>
  <si>
    <t>ΑΜ666783</t>
  </si>
  <si>
    <t>ΡΟΔΙΤΗΣ</t>
  </si>
  <si>
    <t>ΑΡ037922</t>
  </si>
  <si>
    <t>ΚΑΜΠΟΥΡΗΣ</t>
  </si>
  <si>
    <t>ΑΙ170857</t>
  </si>
  <si>
    <t>ΡΑΦΑΗΛ  ΠΑΝΑΓΙΩΤΗΣ</t>
  </si>
  <si>
    <t>ΑΜ831357</t>
  </si>
  <si>
    <t>ΤΖΟΥΛΙΑΝΟ</t>
  </si>
  <si>
    <t>ΧΟΤΖΑ</t>
  </si>
  <si>
    <t>ΑΜ839241</t>
  </si>
  <si>
    <t>ΚΟΥΣΟΥΡΕΤΑΣ</t>
  </si>
  <si>
    <t>ΑΡ899223</t>
  </si>
  <si>
    <t>ΑΡΒΑΝΙΤΗΣ</t>
  </si>
  <si>
    <t>ΑΚ411406</t>
  </si>
  <si>
    <t>ΜΑΓΔΑΛΗΝΗ</t>
  </si>
  <si>
    <t>ΝΤΑΛΑΦΟΥΡΑ</t>
  </si>
  <si>
    <t>ΑΕ247057</t>
  </si>
  <si>
    <t>ΝΤΑΝΤΑΛΙΑΣ</t>
  </si>
  <si>
    <t>ΑΖ271273</t>
  </si>
  <si>
    <t>ΑΜ403260</t>
  </si>
  <si>
    <t>ΜΠΛΕΤΣΑΣ</t>
  </si>
  <si>
    <t>ΑΜ324047</t>
  </si>
  <si>
    <t>ΧΡΥΣΟΠΗΓΗ</t>
  </si>
  <si>
    <t>ΦΩΣΚΟΛΟΥ</t>
  </si>
  <si>
    <t>ΑΜ938390</t>
  </si>
  <si>
    <t>ΣΤΥΛΙΑΝΟΣ</t>
  </si>
  <si>
    <t>ΤΣΟΡΛΙΑΝΟΣ</t>
  </si>
  <si>
    <t>ΑΙ851715</t>
  </si>
  <si>
    <t>ΤΣΙΜΠΛΙΑΡΗΣ</t>
  </si>
  <si>
    <t>ΑΒ192130</t>
  </si>
  <si>
    <t>ΓΙΟΥΡΑΣ</t>
  </si>
  <si>
    <t>ΑΝ378682</t>
  </si>
  <si>
    <t>ΛΑΓΟΥΤΑΡΗΣ</t>
  </si>
  <si>
    <t>ΑΒ469980</t>
  </si>
  <si>
    <t>ΓΚΙΟΥΖΕΛΗΣ</t>
  </si>
  <si>
    <t>ΑΒ104878</t>
  </si>
  <si>
    <t>ΓΙΑΝΝΙΩΤΗΣ</t>
  </si>
  <si>
    <t>ΑΑ265060</t>
  </si>
  <si>
    <t>ΣΙΣΚΑΣ</t>
  </si>
  <si>
    <t>ΑΡ905795</t>
  </si>
  <si>
    <t>ΘΕΩΝΗ</t>
  </si>
  <si>
    <t>ΤΣΑΚΑΛΗ</t>
  </si>
  <si>
    <t>ΑΖ231886</t>
  </si>
  <si>
    <t>ΕΛΕΥΘΕΡΙΑΔΗΣ</t>
  </si>
  <si>
    <t>ΑΡ334891</t>
  </si>
  <si>
    <t>ΖΑΧΑΡΗ</t>
  </si>
  <si>
    <t>ΑΙ224748</t>
  </si>
  <si>
    <t>ΧΑΛΙΛ ΑΡΙΣΤΟΤΕΛΗΣ</t>
  </si>
  <si>
    <t>ΚΑΜΠΑΝΙ</t>
  </si>
  <si>
    <t>ΑΟ731583</t>
  </si>
  <si>
    <t>ΜΑΡΟΥΛΑ</t>
  </si>
  <si>
    <t>ΚΑΛΑΙΤΣΙΔΟΥ</t>
  </si>
  <si>
    <t>ΑΡ646337</t>
  </si>
  <si>
    <t>ΚΙΟΥΜΟΥΡΤΖΗΣ</t>
  </si>
  <si>
    <t>ΑΖ790322</t>
  </si>
  <si>
    <t>ΚΑΡΑΚΩΣΤΑ</t>
  </si>
  <si>
    <t>ΑΜ752119</t>
  </si>
  <si>
    <t>ΣΧΙΣΜΕΝΟΣ</t>
  </si>
  <si>
    <t>ΑΝ265408</t>
  </si>
  <si>
    <t>ΜΕΛΑΝΘΙΑ</t>
  </si>
  <si>
    <t>ΤΡΙΑΛΩΝΗ</t>
  </si>
  <si>
    <t>ΑΗ967347</t>
  </si>
  <si>
    <t>ΤΖΕΝΗΣ</t>
  </si>
  <si>
    <t>ΑΖ084150</t>
  </si>
  <si>
    <t>ΝΙΚΟΛΑΣ</t>
  </si>
  <si>
    <t>ΑΝ800529</t>
  </si>
  <si>
    <t>ΚΑΤΣΟΥΛΙΕΡΗ</t>
  </si>
  <si>
    <t>ΑΗ502498</t>
  </si>
  <si>
    <t>ΚΑΛΟΓΕΡΟΠΟΥΛΟΣ</t>
  </si>
  <si>
    <t>ΑΗ037065</t>
  </si>
  <si>
    <t>ΚΟΛΙΤΣΙΔΑΣ</t>
  </si>
  <si>
    <t>ΑΕ781424</t>
  </si>
  <si>
    <t>ΑΠΟΣΤΟΛΙΑ ΝΕΚΤΑΡΙΑ</t>
  </si>
  <si>
    <t>ΜΥΤΙΚΑ</t>
  </si>
  <si>
    <t>ΑΙ859939</t>
  </si>
  <si>
    <t>ΧΑΜΠΟΣΟΓΛΟΥ</t>
  </si>
  <si>
    <t>ΑΡ326341</t>
  </si>
  <si>
    <t>ΤΣΙΤΛΑΧΙΔΗΣ</t>
  </si>
  <si>
    <t>ΑΑ869428</t>
  </si>
  <si>
    <t>ΣΕΡΦΑ</t>
  </si>
  <si>
    <t>ΑΝ280667</t>
  </si>
  <si>
    <t>ΘΕΟΧΑΡΗΣ</t>
  </si>
  <si>
    <t>ΠΑΠΑΤΣΑΝΗΣ</t>
  </si>
  <si>
    <t>ΜΑΝΔΑΛΙΑΝΟΥ</t>
  </si>
  <si>
    <t>ΑΟ916635</t>
  </si>
  <si>
    <t>ΜΑΡΑΖΟΠΟΥΛΟΣ</t>
  </si>
  <si>
    <t>Α00234669</t>
  </si>
  <si>
    <t>ΧΑΪΔΟΥ</t>
  </si>
  <si>
    <t>ΑΚ982629</t>
  </si>
  <si>
    <t>ΚΑΤΣΑΒΡΙΑ</t>
  </si>
  <si>
    <t>ΑΝ334067</t>
  </si>
  <si>
    <t>ΚΑΚΑΚΗΣ</t>
  </si>
  <si>
    <t>ΑΟ331078</t>
  </si>
  <si>
    <t>ΧΑΡΙΤΩΝ</t>
  </si>
  <si>
    <t>ΜΟΥΛΤΣΙΑΣ</t>
  </si>
  <si>
    <t>ΑΚ969954</t>
  </si>
  <si>
    <t>ΚΟΤΤΑΣ</t>
  </si>
  <si>
    <t>Χ960050</t>
  </si>
  <si>
    <t>ΓΕΡΟΝΤΗΣ</t>
  </si>
  <si>
    <t>ΑΙ419794</t>
  </si>
  <si>
    <t>ΜΠΑΡΜΠΑΣ</t>
  </si>
  <si>
    <t>ΑΜ925595</t>
  </si>
  <si>
    <t>ΡΕΓΓΙΝΑ</t>
  </si>
  <si>
    <t>ΣΟΛΩΜΟΥ</t>
  </si>
  <si>
    <t>ΑΑ400556</t>
  </si>
  <si>
    <t>ΧΑΡΑΚΙΔΑΣ</t>
  </si>
  <si>
    <t>ΑΜ304425</t>
  </si>
  <si>
    <t>ΜΠΟΥΡΑΚΗΣ</t>
  </si>
  <si>
    <t>ΑΖ290337</t>
  </si>
  <si>
    <t>ΕΛΕΝΗ ΧΡΙΣΤΙΝΑ</t>
  </si>
  <si>
    <t>ΒΑΙΝΑ</t>
  </si>
  <si>
    <t>ΑΝ364549</t>
  </si>
  <si>
    <t>ΔΙΟΝΥΣΙΑ-ΕΛΕΝΗ</t>
  </si>
  <si>
    <t>ΚΑΡΑΧΑΛΙΟΥ</t>
  </si>
  <si>
    <t>ΑΙ767261</t>
  </si>
  <si>
    <t>ΖΩΓΡΑΦΟΣ-ΑΘΑΝΑΣΑΚΗΣ</t>
  </si>
  <si>
    <t>ΑΕ318755</t>
  </si>
  <si>
    <t>ΠΑΠΑΕΥΘΥΜΙΟΥ</t>
  </si>
  <si>
    <t>ΑΕ996672</t>
  </si>
  <si>
    <t>ΚΛΕΙΩ</t>
  </si>
  <si>
    <t>ΠΡΟΚΟΠΑΚΗ</t>
  </si>
  <si>
    <t>ΑΖ458716</t>
  </si>
  <si>
    <t>ΚΑΤΣΟΥΛΗΣ</t>
  </si>
  <si>
    <t>ΑΙ990122</t>
  </si>
  <si>
    <t>ΜΥΡΣΙΝΗ</t>
  </si>
  <si>
    <t>ΚΑΝΑΡΑΧΟΥ</t>
  </si>
  <si>
    <t>ΑΟ135150</t>
  </si>
  <si>
    <t>ΓΙΑΝΝΟΥΤΣΟΣ</t>
  </si>
  <si>
    <t>ΑΑ382416</t>
  </si>
  <si>
    <t>ΑΘΑΝΑΣΟΠΟΥΛΟΣ</t>
  </si>
  <si>
    <t>ΑΜ749030</t>
  </si>
  <si>
    <t>ΤΣΙΚΟΥ</t>
  </si>
  <si>
    <t>ΑΑ308514</t>
  </si>
  <si>
    <t>ΣΑΡΑΜΠΑΚΟΣ</t>
  </si>
  <si>
    <t>ΧΡΙΣΤΟΦΟΡΙΔΗΣ</t>
  </si>
  <si>
    <t>ΑΙ323210</t>
  </si>
  <si>
    <t>ΝΤΟΥΝΙΑΣ</t>
  </si>
  <si>
    <t>ΑΝ719263</t>
  </si>
  <si>
    <t>ΜΩΥΣΙΔΗΣ</t>
  </si>
  <si>
    <t>AM674748</t>
  </si>
  <si>
    <t>ΡΕΝΤΖΟΥ</t>
  </si>
  <si>
    <t>ΑΝ194919</t>
  </si>
  <si>
    <t>ΑΣΤΕΡΙΟΣ</t>
  </si>
  <si>
    <t>ΣΩΤΗΡΑΣ</t>
  </si>
  <si>
    <t>ΑΜ290325</t>
  </si>
  <si>
    <t>ΑΒ283859</t>
  </si>
  <si>
    <t>ΚΑΡΑΟΥΛΙΑΣ</t>
  </si>
  <si>
    <t>ΑΟ857760</t>
  </si>
  <si>
    <t>ΟΛΠΑΣΙΑΛΗΣ</t>
  </si>
  <si>
    <t>ΑΗ796898</t>
  </si>
  <si>
    <t>ΠΑΝΑΓΙΩΤΟΥ</t>
  </si>
  <si>
    <t>ΑΒ562172</t>
  </si>
  <si>
    <t>ΔΑΦΑΛΙΑΣ</t>
  </si>
  <si>
    <t>ΑΜ617902</t>
  </si>
  <si>
    <t>ΚΑΓΚΕΛΑΡΗΣ</t>
  </si>
  <si>
    <t>ΑΝ350247</t>
  </si>
  <si>
    <t>ΒΛΑΧΑΒΑ</t>
  </si>
  <si>
    <t>ΑΕ689242</t>
  </si>
  <si>
    <t>ΓΚΟΒΑΡΗΣ</t>
  </si>
  <si>
    <t>ΑΡ365756</t>
  </si>
  <si>
    <t>ΑΡΓΥΡΙΟΥ</t>
  </si>
  <si>
    <t>ΑΜ828065</t>
  </si>
  <si>
    <t>ΣΑΛΒΑΤΟΡΕ ΧΡΗΣΤΟΣ</t>
  </si>
  <si>
    <t>ΓΚΟΥΑΡΝΤΑΜΠΑΣΟ</t>
  </si>
  <si>
    <t>ΑΚ972296</t>
  </si>
  <si>
    <t>ΝΑΛΠΑΝΤΙΔΗΣ</t>
  </si>
  <si>
    <t>ΑΜ402444</t>
  </si>
  <si>
    <t>ΚΑΥΚΙΑΣ</t>
  </si>
  <si>
    <t>AN483164</t>
  </si>
  <si>
    <t>ΚΙΟΥΤΣΙΚΗ</t>
  </si>
  <si>
    <t>Α00232977</t>
  </si>
  <si>
    <t>ΔΑΜΙΑΝΑΚΗ</t>
  </si>
  <si>
    <t>ΑΗ479895</t>
  </si>
  <si>
    <t>ΚΑΡΑΓΚΙΟΖΙΔΗΣ</t>
  </si>
  <si>
    <t>ΠΑΠΑΔΟΓΙΑΝΝΗ</t>
  </si>
  <si>
    <t>Χ791781</t>
  </si>
  <si>
    <t>ΜΠΑΚΙΡΤΖΗΣ</t>
  </si>
  <si>
    <t>ΚΕΡΑΣΙΩΤΗΣ</t>
  </si>
  <si>
    <t>ΑΖ777498</t>
  </si>
  <si>
    <t>ΦΙΛΙΤΣΗΣ</t>
  </si>
  <si>
    <t>ΑΝ545117</t>
  </si>
  <si>
    <t>ΑΜ 859073</t>
  </si>
  <si>
    <t>ΓΕΩΡΓΙΟΣ ΑΠΟΣΤΟΛΟΣ</t>
  </si>
  <si>
    <t>ΓΙΑΝΝΑΚΟΣ</t>
  </si>
  <si>
    <t>ΑΒ402893</t>
  </si>
  <si>
    <t>ΛΕΜΟΝΙΑ</t>
  </si>
  <si>
    <t>ΚΑΝΕΤΗ</t>
  </si>
  <si>
    <t>ΑΗ937763</t>
  </si>
  <si>
    <t>ΑΝ114868</t>
  </si>
  <si>
    <t>ΒΑΒΛΗΣ</t>
  </si>
  <si>
    <t>ΑΡ387238</t>
  </si>
  <si>
    <t>ΓΕΡΑΚΙΝΑ</t>
  </si>
  <si>
    <t>ΑΝΤΩΝΟΥΛΗ</t>
  </si>
  <si>
    <t>ΑΙ281251</t>
  </si>
  <si>
    <t>ΤΟΛΛΙΑΣ</t>
  </si>
  <si>
    <t>ΑΜ814755</t>
  </si>
  <si>
    <t>ΓΕΩΡΓΟΥΛΑΣ</t>
  </si>
  <si>
    <t>ΑΜ668211</t>
  </si>
  <si>
    <t>ΑΓΓΕΛΟΠΟΥΛΟΣ</t>
  </si>
  <si>
    <t>ΑΡ460186</t>
  </si>
  <si>
    <t>ΤΡΙΑΝΤΑΦΥΛΛΟΣ</t>
  </si>
  <si>
    <t>ΒΑΒΟΥΖΑΣ</t>
  </si>
  <si>
    <t>ΑΙ410206</t>
  </si>
  <si>
    <t>ΜΠΟΖΙΝΗ</t>
  </si>
  <si>
    <t>ΑΜ861344</t>
  </si>
  <si>
    <t>ΜΑΝΤΟΝΑ</t>
  </si>
  <si>
    <t>ΣΟΥΣΟΥ</t>
  </si>
  <si>
    <t>ΑΗ077385</t>
  </si>
  <si>
    <t>ΑΓΝΗ</t>
  </si>
  <si>
    <t>ΜΠΟΝΑΝΟΥ</t>
  </si>
  <si>
    <t>Χ846764</t>
  </si>
  <si>
    <t>ΙΑΚΩΒΟΣ</t>
  </si>
  <si>
    <t>ΒΑΣΙΛΑΚΗΣ</t>
  </si>
  <si>
    <t>ΑΟ185797</t>
  </si>
  <si>
    <t>ΠΑΡΕΣΟΓΛΟΥ</t>
  </si>
  <si>
    <t>Χ636156</t>
  </si>
  <si>
    <t>ΤΑΧΤΣΙΔΟΥ</t>
  </si>
  <si>
    <t>ΑΚ938714</t>
  </si>
  <si>
    <t>ΗΛΙΟΠΟΥΛΟΥ</t>
  </si>
  <si>
    <t>ΑΗ205431</t>
  </si>
  <si>
    <t>ΧΟΥΛΙΑΡΑΣ</t>
  </si>
  <si>
    <t>ΑΜ853036</t>
  </si>
  <si>
    <t>ΜΠΟΥΣΤΑΣ</t>
  </si>
  <si>
    <t>ΑΗ069451</t>
  </si>
  <si>
    <t>ΑΒΡΑΑΜ</t>
  </si>
  <si>
    <t>ΚΑΡΑΤΖΑΣ</t>
  </si>
  <si>
    <t>ΑΥ0780592</t>
  </si>
  <si>
    <t>ΣΤΕΡΓΙΟΥ</t>
  </si>
  <si>
    <t>ΑΗ305426</t>
  </si>
  <si>
    <t>ΑΤ495253</t>
  </si>
  <si>
    <t>ΚΟΚΚΙΝΑΚΗΣ</t>
  </si>
  <si>
    <t>ΑΚ955438</t>
  </si>
  <si>
    <t>ΕΥΘΥΜΙΑ</t>
  </si>
  <si>
    <t>ΣΑΚΟΥΛΕΒΑ</t>
  </si>
  <si>
    <t>ΑΒ113974</t>
  </si>
  <si>
    <t>ΡΕΝΤΖΙΟΣ</t>
  </si>
  <si>
    <t>ΑΝ844516</t>
  </si>
  <si>
    <t>ΜΑΝΤΑΣ</t>
  </si>
  <si>
    <t>ΑΒ075993</t>
  </si>
  <si>
    <t>ΑΙ241468</t>
  </si>
  <si>
    <t>ΜΠΟΥΡΟΝΙΚΟΥ</t>
  </si>
  <si>
    <t>ΑΝ366036</t>
  </si>
  <si>
    <t>ΧΑΡΙΤΑΚΗ</t>
  </si>
  <si>
    <t>ΑΝ937593</t>
  </si>
  <si>
    <t>ΠΑΤΤΑΣ</t>
  </si>
  <si>
    <t>ΑΖ 556263</t>
  </si>
  <si>
    <t>Α00349231</t>
  </si>
  <si>
    <t>ΙΓΚΟΡ</t>
  </si>
  <si>
    <t>ΣΑΒΒΙΔΗΣ</t>
  </si>
  <si>
    <t>ΑΑ243443</t>
  </si>
  <si>
    <t>ΖΑΧΑΡΑΚΗΣ</t>
  </si>
  <si>
    <t>ΑΡ708898</t>
  </si>
  <si>
    <t>ΤΥΠΟΥ</t>
  </si>
  <si>
    <t>ΚΑΝΣΙΖΟΓΛΟΥ</t>
  </si>
  <si>
    <t>ΑΖ895238</t>
  </si>
  <si>
    <t>ΠΕΡΙΣΤΕΡΗ</t>
  </si>
  <si>
    <t>ΑΚ524257</t>
  </si>
  <si>
    <t>ΤΡΙΑΝΤΑΦΥΛΛΟΥ</t>
  </si>
  <si>
    <t>ΦΙΛΙΠΠΑΣ</t>
  </si>
  <si>
    <t>ΑΝ327481</t>
  </si>
  <si>
    <t>ΛΟΥΚΑΤΟΣ</t>
  </si>
  <si>
    <t>ΑΟ382512</t>
  </si>
  <si>
    <t>ΒΑΡΖΑΚΑΝΟΣ</t>
  </si>
  <si>
    <t>ΑΖ997817</t>
  </si>
  <si>
    <t>ΑΝ997779</t>
  </si>
  <si>
    <t>ΘΕΟΔΩΡΑΚΟΠΟΥΛΟΣ</t>
  </si>
  <si>
    <t>ΑΖ731844</t>
  </si>
  <si>
    <t>ΤΕΡΖΗΣ</t>
  </si>
  <si>
    <t>ΑΑ262629</t>
  </si>
  <si>
    <t>ΑΙ113090</t>
  </si>
  <si>
    <t>ΜΑΝΣΟΥΔΗΣ</t>
  </si>
  <si>
    <t>ΑΕ161886</t>
  </si>
  <si>
    <t>ΣΙΟΥΜΠΟΥΡΑΣ</t>
  </si>
  <si>
    <t>ΑΝ350838</t>
  </si>
  <si>
    <t>ΠΑΝΑΓΟΠΟΥΛΟΣ</t>
  </si>
  <si>
    <t>ΑΒ760004</t>
  </si>
  <si>
    <t>ΜΠΟΥΡΧΑΣ</t>
  </si>
  <si>
    <t>ΑΖ778491</t>
  </si>
  <si>
    <t>ΜΑΡΙΑ ΓΕΩΡΓΙΑ</t>
  </si>
  <si>
    <t>ΖΗΚΑ</t>
  </si>
  <si>
    <t>ΑΚ146787</t>
  </si>
  <si>
    <t>ΔΟΛΙΟΣ</t>
  </si>
  <si>
    <t>ΑΗ302667</t>
  </si>
  <si>
    <t>ΧΑΤΖΗΠΑΥΛΟΣ</t>
  </si>
  <si>
    <t>ΑΗ793801</t>
  </si>
  <si>
    <t>ΣΚΟΥΛΑΤΑΚΗ</t>
  </si>
  <si>
    <t>ΑΚ744936</t>
  </si>
  <si>
    <t>ΒΙΚΤΩΡ</t>
  </si>
  <si>
    <t>ΚΙΤΟ</t>
  </si>
  <si>
    <t>ΑΚ419342</t>
  </si>
  <si>
    <t>ΜΗΛΙΩΝΗ</t>
  </si>
  <si>
    <t>ΑΟ296588</t>
  </si>
  <si>
    <t>ΚΑΡΑΜΗΤΣΟΣ</t>
  </si>
  <si>
    <t>ΑΜ402737</t>
  </si>
  <si>
    <t>ΓΡΗΓΟΡΙΟΥ</t>
  </si>
  <si>
    <t>ΑΒ432465</t>
  </si>
  <si>
    <t>ΚΑΤΣΙΡΟΥΜΠΑΣ</t>
  </si>
  <si>
    <t>Χ792562</t>
  </si>
  <si>
    <t>ΣΠΥΡΙΔΟΥΛΑ</t>
  </si>
  <si>
    <t>ΦΩΚΑ</t>
  </si>
  <si>
    <t>ΑΜ509809</t>
  </si>
  <si>
    <t>ΓΚΟΥΣΙΑΚΗ</t>
  </si>
  <si>
    <t>Α00277382</t>
  </si>
  <si>
    <t>ΨΩΜΑΣ</t>
  </si>
  <si>
    <t>AK388055</t>
  </si>
  <si>
    <t>ΑΠΑΝΟΠ</t>
  </si>
  <si>
    <t>ΑΤΤΙΑ</t>
  </si>
  <si>
    <t>ΑΝ040635</t>
  </si>
  <si>
    <t>ΒΟΥΛΓΑΡΗ</t>
  </si>
  <si>
    <t>ΑΡ753562</t>
  </si>
  <si>
    <t>ΕΥΑΝΘΙΑ</t>
  </si>
  <si>
    <t>ΜΑΓΕΙΡΑ</t>
  </si>
  <si>
    <t>ΑΙ359493</t>
  </si>
  <si>
    <t>ΣΦΕΤΣΙΑΣ</t>
  </si>
  <si>
    <t>ΒΛΑΣΑΚΟΥΔΗΣ</t>
  </si>
  <si>
    <t>ΑΕ925369</t>
  </si>
  <si>
    <t>ΔΕΛΙΑΝΙΔΗΣ</t>
  </si>
  <si>
    <t>ΑΜ 391971</t>
  </si>
  <si>
    <t>ΓΑΡΔΙΚΑΣ</t>
  </si>
  <si>
    <t>ΑΜ768843</t>
  </si>
  <si>
    <t>ΜΥΡΤΑΙ</t>
  </si>
  <si>
    <t>ΑΙ266258</t>
  </si>
  <si>
    <t>ΖΗΚΟΥΛΗΣ</t>
  </si>
  <si>
    <t>ΑΡ706920</t>
  </si>
  <si>
    <t>ΠΑΠΑΝΙΚΟΛΟΠΟΥΛΟΣ</t>
  </si>
  <si>
    <t>ΑΑ047550</t>
  </si>
  <si>
    <t>ΛΟΓΔΑΝΙΔΟΥ</t>
  </si>
  <si>
    <t>ΑΝ824407</t>
  </si>
  <si>
    <t>ΑΜ392530</t>
  </si>
  <si>
    <t>ΚΕΠΕΝΟΣ</t>
  </si>
  <si>
    <t>ΑΑ322103</t>
  </si>
  <si>
    <t>ΣΤΑΜΑΤΗΣ</t>
  </si>
  <si>
    <t>ΑΚ354663</t>
  </si>
  <si>
    <t>ΑΚ427869</t>
  </si>
  <si>
    <t>ΚΟΥΣΤΑ</t>
  </si>
  <si>
    <t>ΑΜ112986</t>
  </si>
  <si>
    <t>ΚΩΝ/ΝΟΣ</t>
  </si>
  <si>
    <t>ΠΟΝΤΙΚΑΣ</t>
  </si>
  <si>
    <t>ΑΕ037847</t>
  </si>
  <si>
    <t>ΤΑΞΙΑΡΧΗΣ</t>
  </si>
  <si>
    <t>ΜΠΑΛΑΣΚΑΣ</t>
  </si>
  <si>
    <t>ΑΙ269807</t>
  </si>
  <si>
    <t>ΛΑΓΟΣ</t>
  </si>
  <si>
    <t>ΑΚ375154</t>
  </si>
  <si>
    <t>ΝΙΚΛΗΤΣΙΩΤΗΣ</t>
  </si>
  <si>
    <t>ΑΙ850568</t>
  </si>
  <si>
    <t>ΑΜ399922</t>
  </si>
  <si>
    <t>ΚΑΒΒΑΔΙΑΣ</t>
  </si>
  <si>
    <t>ΑΙ209732</t>
  </si>
  <si>
    <t>ΛΙΑΒΑΣ</t>
  </si>
  <si>
    <t>ΑΝ254571</t>
  </si>
  <si>
    <t>ΤΕΓΟΣ</t>
  </si>
  <si>
    <t>ΧΡΥΣΟΥΛΑ ΑΙΚΑΤΕΡΙΝΗ</t>
  </si>
  <si>
    <t>ΚΡΙΕΖΗ</t>
  </si>
  <si>
    <t>ΑΟ874247</t>
  </si>
  <si>
    <t>ΒΕΝΤΗΡΗΣ</t>
  </si>
  <si>
    <t>ΑΝ119536</t>
  </si>
  <si>
    <t>ΠΟΛΥΧΡΟΝΗΣ</t>
  </si>
  <si>
    <t>ΚΑΡΛΑΚΗΣ</t>
  </si>
  <si>
    <t>ΚΑΡΥΔΟΠΟΥΛΟΣ</t>
  </si>
  <si>
    <t>ΑΝ744643</t>
  </si>
  <si>
    <t>ΛΑΖΑΡΙΔΗΣ</t>
  </si>
  <si>
    <t>ΑΝ413802</t>
  </si>
  <si>
    <t>ΗΛΙΟΠΟΥΛΟΣ</t>
  </si>
  <si>
    <t>ΑΡ672352</t>
  </si>
  <si>
    <t>ΕΥΣΤΑΘΙΑ</t>
  </si>
  <si>
    <t>ΒΑΤΟΥ</t>
  </si>
  <si>
    <t>ΑΖ431793</t>
  </si>
  <si>
    <t>ΘΑΝΟΣ</t>
  </si>
  <si>
    <t>Α00271832</t>
  </si>
  <si>
    <t>ΔΗΜΗΤΡΙΟΣ ΠΡΟΜΗΘΕΑΣ</t>
  </si>
  <si>
    <t>ΚΩΗΣ</t>
  </si>
  <si>
    <t>ΑΖ205253</t>
  </si>
  <si>
    <t>ΑΝΤΩΝΑΚΗΣ</t>
  </si>
  <si>
    <t>ΑΙ952245</t>
  </si>
  <si>
    <t>ΒΕΣΚΟΥΚΗΣ</t>
  </si>
  <si>
    <t>Β5155</t>
  </si>
  <si>
    <t>ΓΙΑΝΝΟΠΟΥΛΟΥ</t>
  </si>
  <si>
    <t>ΜΑΡΚΟΣ</t>
  </si>
  <si>
    <t>ΜΠΟΥΡΟΝΙΚΟΣ</t>
  </si>
  <si>
    <t>ΑΝ350008</t>
  </si>
  <si>
    <t>ΑΗ398892</t>
  </si>
  <si>
    <t>ΜΠΑΛΛΑΣ</t>
  </si>
  <si>
    <t>ΠΟΡΤΟΚΑΛΗΣ</t>
  </si>
  <si>
    <t>ΑΙ343124</t>
  </si>
  <si>
    <t>ΑΝΑΓΝΩΣΤΟΥ</t>
  </si>
  <si>
    <t>ΕΥΑΓΓΕΛΟΠΟΥΛΟΣ</t>
  </si>
  <si>
    <t>ΑΜ751132</t>
  </si>
  <si>
    <t>ΡΙΖΟΣ</t>
  </si>
  <si>
    <t>ΛΕΒΑΚΗ</t>
  </si>
  <si>
    <t>ΑΚ821291</t>
  </si>
  <si>
    <t>ΕΛΙΣΑΒΕΤ</t>
  </si>
  <si>
    <t>ΧΑΤΖΗΛΙΑ</t>
  </si>
  <si>
    <t>ΑΡ 616620</t>
  </si>
  <si>
    <t>ΣΙΑΝΟΓΛΟΥ</t>
  </si>
  <si>
    <t>ΑΡ030127</t>
  </si>
  <si>
    <t>ΑΗ264265</t>
  </si>
  <si>
    <t>ΜΠΕΛΛΑ</t>
  </si>
  <si>
    <t>ΑΚ417565</t>
  </si>
  <si>
    <t>ΓΕΩΡΓΙΑΔΟΥ</t>
  </si>
  <si>
    <t>ΑΗ803506</t>
  </si>
  <si>
    <t>ΛΑΓΚΑΔΙΝΟΣ</t>
  </si>
  <si>
    <t>ΑΖ639273</t>
  </si>
  <si>
    <t>ΧΑΡΑΛΑΜΠΟΥΣ</t>
  </si>
  <si>
    <t>ΑΗ750416</t>
  </si>
  <si>
    <t>ΜΕΛΙΣΣΙΝΟΣ</t>
  </si>
  <si>
    <t>ΑΗ126573</t>
  </si>
  <si>
    <t>ΓΕΡΜΑΝΟΣ</t>
  </si>
  <si>
    <t>ΑΡ827743</t>
  </si>
  <si>
    <t>ΒΙΡΓΙΝΙΑ ΠΑΡΑΣΚΕΥΗ</t>
  </si>
  <si>
    <t>ΤΟΥΣΟΥΝΗ</t>
  </si>
  <si>
    <t>ΑΝ065567</t>
  </si>
  <si>
    <t>ΠΑΝΑΓΙΩΤΗΣ ΔΙΟΝΥΣΙΟΣ</t>
  </si>
  <si>
    <t>ΑΜ361929</t>
  </si>
  <si>
    <t>ΑΙ297947</t>
  </si>
  <si>
    <t>ΡΑΦΑΗΛΙΑ</t>
  </si>
  <si>
    <t>ΕΞΙΟΓΛΟΥ</t>
  </si>
  <si>
    <t>ΑΜ689981</t>
  </si>
  <si>
    <t>ΣΤΕΦΑΝΑΤΟΣ</t>
  </si>
  <si>
    <t>ΑΝ797067</t>
  </si>
  <si>
    <t>ΠΑΠΑΠΑΥΛΟΣ</t>
  </si>
  <si>
    <t>ΤΖΑΜΑΚΟΣ</t>
  </si>
  <si>
    <t>ΑΝ803947</t>
  </si>
  <si>
    <t>ΠΕΡΔΙΚΑΚΗ</t>
  </si>
  <si>
    <t>ΑΙ653667</t>
  </si>
  <si>
    <t>ΠΑΠΟΥΛΙΑΣ ΑΓΓΕΛΗΣ</t>
  </si>
  <si>
    <t>ΑΜ785254</t>
  </si>
  <si>
    <t>ΡΟΖΙΝΑ</t>
  </si>
  <si>
    <t>ΑΗ004512</t>
  </si>
  <si>
    <t>ΑΝ874640</t>
  </si>
  <si>
    <t>ΣΤΕΦΑΝΙΔΗΣ</t>
  </si>
  <si>
    <t>ΑΝ824396</t>
  </si>
  <si>
    <t>ΕΥΓΕΝΙΑ</t>
  </si>
  <si>
    <t>ΜΑΛΑΚΟΥ</t>
  </si>
  <si>
    <t>ΑΝ860300</t>
  </si>
  <si>
    <t>ΤΖΟΥΔΑΣ</t>
  </si>
  <si>
    <t>ΓΑΪΔΑΤΖΗ</t>
  </si>
  <si>
    <t>ΑΜ723343</t>
  </si>
  <si>
    <t>ΠΕΤΣΑ</t>
  </si>
  <si>
    <t>ΑΒ812750</t>
  </si>
  <si>
    <t>ΜΑΡΙΑ ΧΡΙΣΤΙΝΑ</t>
  </si>
  <si>
    <t>ΜΑΥΡΟΓΙΑΝΝΗ</t>
  </si>
  <si>
    <t>ΑΙ243648</t>
  </si>
  <si>
    <t>ΕΦΕΣ</t>
  </si>
  <si>
    <t>ΑΡ810126</t>
  </si>
  <si>
    <t>ΜΗΤΡΟΥ</t>
  </si>
  <si>
    <t>ΑΗ012492</t>
  </si>
  <si>
    <t>ΣΙΔΕΡΑΣ</t>
  </si>
  <si>
    <t>ΑΗ810620</t>
  </si>
  <si>
    <t>ΣΤΑΥΛΑ</t>
  </si>
  <si>
    <t>ΑΝ056575</t>
  </si>
  <si>
    <t>ΜΠΛΑΝΗΣ</t>
  </si>
  <si>
    <t>ΑΗ999283</t>
  </si>
  <si>
    <t>ΜΟΡΑΛΗ</t>
  </si>
  <si>
    <t>AM 288321</t>
  </si>
  <si>
    <t>ΤΣΟΥΤΣΟΥΡΑΣ</t>
  </si>
  <si>
    <t>ΑΒ106828</t>
  </si>
  <si>
    <t>AO668311</t>
  </si>
  <si>
    <t>ΛΩΛΟΣ</t>
  </si>
  <si>
    <t>ΑΜ746085</t>
  </si>
  <si>
    <t>ΤΡΑΙΚΑΠΗ</t>
  </si>
  <si>
    <t>ΑΟ343106</t>
  </si>
  <si>
    <t>ΖΩΤΟΥ</t>
  </si>
  <si>
    <t>ΑΙ259555</t>
  </si>
  <si>
    <t>ΚΑΡΑΣΤΟΓΙΑΝΝΗ</t>
  </si>
  <si>
    <t>ΑΒ433348</t>
  </si>
  <si>
    <t>ΜΑΝΩΛΗΣ</t>
  </si>
  <si>
    <t>ΑΟ734945</t>
  </si>
  <si>
    <t>ΚΑΤΣΙΓΑΡΑΚΗ</t>
  </si>
  <si>
    <t>ΑΒ974168</t>
  </si>
  <si>
    <t>ΚΑΤΣΙΜΗΤΡΟΣ</t>
  </si>
  <si>
    <t>Χ986305</t>
  </si>
  <si>
    <t>ΓΕΩΡΓΟΥΛΟΠΟΥΛΟΣ</t>
  </si>
  <si>
    <t>ΑΒ084062</t>
  </si>
  <si>
    <t>ΤΣΑΚΑΛΟΣ</t>
  </si>
  <si>
    <t>ΑΒ812293</t>
  </si>
  <si>
    <t>ΧΑΝΙΩΤΗΣ</t>
  </si>
  <si>
    <t>ΑΗ623922</t>
  </si>
  <si>
    <t>ΘΕΟΔΩΡΟΠΟΥΛΟΣ</t>
  </si>
  <si>
    <t>ΑΙ780310</t>
  </si>
  <si>
    <t>ΚΑΡΡΑ</t>
  </si>
  <si>
    <t>ΑΜ914249</t>
  </si>
  <si>
    <t>ΔΗΜΗΤΡΟΠΟΥΛΟΣ</t>
  </si>
  <si>
    <t>ΑΖ714191</t>
  </si>
  <si>
    <t>ΑΛΕΞΙΟΣ</t>
  </si>
  <si>
    <t>ΨΑΘΑΣ</t>
  </si>
  <si>
    <t>ΑΡ299150</t>
  </si>
  <si>
    <t>ΑΗ982755</t>
  </si>
  <si>
    <t>ΑΚ784238</t>
  </si>
  <si>
    <t>ΚΑΡΑΓΙΑΝΝΙΔΗΣ</t>
  </si>
  <si>
    <t>ΣΠΗΛΙΟΠΟΥΛΟΣ</t>
  </si>
  <si>
    <t>ΑΜ748771</t>
  </si>
  <si>
    <t>ΧΡΙΣΤΟΔΟΥΛΑΚΗΣ</t>
  </si>
  <si>
    <t>ΑΝ472814</t>
  </si>
  <si>
    <t>ΚΑΡΑΜΠΟΥΛΗΣ</t>
  </si>
  <si>
    <t>ΑΕ230406</t>
  </si>
  <si>
    <t>ΝΕΚΤΑΡΙΑ</t>
  </si>
  <si>
    <t>ΦΡΑΝΤΖΗ</t>
  </si>
  <si>
    <t>ΑΙ411033</t>
  </si>
  <si>
    <t>ΑΖ932261</t>
  </si>
  <si>
    <t>ΣΑΡΑΚΙΝΗΣ</t>
  </si>
  <si>
    <t>ΑΜ402734</t>
  </si>
  <si>
    <t>ΑΕ376700</t>
  </si>
  <si>
    <t>ΒΑΛΤΑΣ</t>
  </si>
  <si>
    <t>AI260365</t>
  </si>
  <si>
    <t>ΜΑΚΡΙΔΗΣ</t>
  </si>
  <si>
    <t>ΑΗ263245</t>
  </si>
  <si>
    <t>ΞΑΝΘΟΠΟΥΛΟΣ</t>
  </si>
  <si>
    <t>ΑΗ688770</t>
  </si>
  <si>
    <t>ΜΕΤΑΞΑΣ</t>
  </si>
  <si>
    <t>ΙΩΣΗΦ ΣΩΤΗΡΙΟΣ</t>
  </si>
  <si>
    <t>ΓΙΑΝΝΟΠΟΥΛΟΣ</t>
  </si>
  <si>
    <t>ΑΟ 318946</t>
  </si>
  <si>
    <t>ΚΑΛΟΓΕΡΗΣ</t>
  </si>
  <si>
    <t>ΑΒ418082</t>
  </si>
  <si>
    <t>ΣΑΦΕΡΙΔΟΥ</t>
  </si>
  <si>
    <t>ΑΕ331144</t>
  </si>
  <si>
    <t>ΑΜ850868</t>
  </si>
  <si>
    <t>ΕΠΙΦΑΝΙΟΣ</t>
  </si>
  <si>
    <t>ΑΡΙΣΤΟΤΕΛΗΣ ΝΙΚΟΛΑΟΣ</t>
  </si>
  <si>
    <t>ΑΡ054819</t>
  </si>
  <si>
    <t>ΝΙΖΑΜΗΣ</t>
  </si>
  <si>
    <t>ΑΖ295626</t>
  </si>
  <si>
    <t>ΘΕΜΕΛΙΩΤΗΣ</t>
  </si>
  <si>
    <t>ΑΑ794042</t>
  </si>
  <si>
    <t>ΠΑΠΑΝΙΚΟΥ</t>
  </si>
  <si>
    <t>Α00117854</t>
  </si>
  <si>
    <t>ΙΩΣΗΦΙΔΗΣ</t>
  </si>
  <si>
    <t>ΑΙ342958</t>
  </si>
  <si>
    <t>ΟΡΦΑΝΟΥ</t>
  </si>
  <si>
    <t>ΑΜ242442</t>
  </si>
  <si>
    <t>ΔΕΣΠΟΙΝΑ ΖΩΗ</t>
  </si>
  <si>
    <t>ΤΣΟΜΠΑΝΕΛΛΗ</t>
  </si>
  <si>
    <t>ΑΙ912596</t>
  </si>
  <si>
    <t>ΤΖΙΕΡΤΖΙΔΗΣ</t>
  </si>
  <si>
    <t>ΑΗ399897</t>
  </si>
  <si>
    <t>ΛΑΜΠΟΣ</t>
  </si>
  <si>
    <t>ΑΙ775293</t>
  </si>
  <si>
    <t>ΖΑΧΟΥ</t>
  </si>
  <si>
    <t>ΑΖ816230</t>
  </si>
  <si>
    <t>ΠΕΓΙΟΥ</t>
  </si>
  <si>
    <t>ΑΗ309342</t>
  </si>
  <si>
    <t>ΚΟΥΝΑΒΑΣ</t>
  </si>
  <si>
    <t>ΑΑ335075</t>
  </si>
  <si>
    <t>ΖΙΩΒΑ</t>
  </si>
  <si>
    <t>ΑΖ495530</t>
  </si>
  <si>
    <t>ΓΑΡΥΦΑΛΛΙΩ</t>
  </si>
  <si>
    <t>ΠΟΘΑ</t>
  </si>
  <si>
    <t>ΑΜ936428</t>
  </si>
  <si>
    <t>ΠΕΣΛΗ</t>
  </si>
  <si>
    <t>Α00311695</t>
  </si>
  <si>
    <t>ΚΡΟΜΜΥΔΑΚΗΣ</t>
  </si>
  <si>
    <t>ΑΕ474405</t>
  </si>
  <si>
    <t>ΑΘΗΝΑ</t>
  </si>
  <si>
    <t>ΚΑΡΕΛΛΗ</t>
  </si>
  <si>
    <t>ΑΒ007611</t>
  </si>
  <si>
    <t>ΕΙΡΗΝΗ ΕΛΕΥΘΕΡΙΑ</t>
  </si>
  <si>
    <t>ΟΙΚΟΝΟΜΟΥ</t>
  </si>
  <si>
    <t>AN297608</t>
  </si>
  <si>
    <t>ΑΙ393479</t>
  </si>
  <si>
    <t>ΑΗ543016</t>
  </si>
  <si>
    <t>ΜΑΓΚΑΦΑΣ</t>
  </si>
  <si>
    <t>ΑΝ810465</t>
  </si>
  <si>
    <t>ΑΒ977037</t>
  </si>
  <si>
    <t>ΧΡΙΣΤΟΠΟΥΛΟΣ</t>
  </si>
  <si>
    <t>ΑΕ725992</t>
  </si>
  <si>
    <t>ΓΡΗΓΟΡΗΣ</t>
  </si>
  <si>
    <t>ΚΟΥΤΟΥΛΑΣ</t>
  </si>
  <si>
    <t>ΑΟ602942</t>
  </si>
  <si>
    <t>ΤΣΑΚΙΡΑΚΗΣ</t>
  </si>
  <si>
    <t>ΠΑΝΑΓΙΩΤΗΣ ΧΡΥΣΟΒΑΛΑΝΤΗΣ</t>
  </si>
  <si>
    <t>ΠΑΤΣΑΝΑΣ</t>
  </si>
  <si>
    <t>ΑΜ577058</t>
  </si>
  <si>
    <t>ΧΡΥΣΟΒΕΡΓΗΣ</t>
  </si>
  <si>
    <t>ΑΑ072788</t>
  </si>
  <si>
    <t>ΜΑΚΡΑΚΗΣ</t>
  </si>
  <si>
    <t>ΑΝ931350</t>
  </si>
  <si>
    <t>ΦΩΤΣΗ</t>
  </si>
  <si>
    <t>ΑΜ181590</t>
  </si>
  <si>
    <t>ΧΑΛΚΙΔΗ</t>
  </si>
  <si>
    <t>AM824659</t>
  </si>
  <si>
    <t>ΑΙ859654</t>
  </si>
  <si>
    <t>ΖΑΜΠΑΛΑΣ</t>
  </si>
  <si>
    <t>ΑΖ242491</t>
  </si>
  <si>
    <t>ΚΟΥΣΙΑ</t>
  </si>
  <si>
    <t>ΑΝ825203</t>
  </si>
  <si>
    <t>ΚΟΥΜΠΑΡΟΥ</t>
  </si>
  <si>
    <t>ΑΙ429764</t>
  </si>
  <si>
    <t>ΑΛΑΧΟΥΖΟΥ</t>
  </si>
  <si>
    <t>ΑΜ451954</t>
  </si>
  <si>
    <t>ΚΑΨΑΛΗΣ</t>
  </si>
  <si>
    <t>ΑΙ244767</t>
  </si>
  <si>
    <t>ΚΑΡΑΤΖΙΑ</t>
  </si>
  <si>
    <t>ΑΙ991892</t>
  </si>
  <si>
    <t>ΜΑΤΖΟΥΡΑ</t>
  </si>
  <si>
    <t>ΑΙ397244</t>
  </si>
  <si>
    <t>ΑΝΔΡΟΥΤΣΟΠΟΥΛΟΣ</t>
  </si>
  <si>
    <t>Α00029614</t>
  </si>
  <si>
    <t>ΠΟΥΡΣΑΙΤΙΔΗΣ</t>
  </si>
  <si>
    <t xml:space="preserve">Ελληνική </t>
  </si>
  <si>
    <t>ΣΠΗΛΙΩΤΟΠΟΥΛΟΥ</t>
  </si>
  <si>
    <t>ΑΕ703507</t>
  </si>
  <si>
    <t>ΦΑΚΚΑ</t>
  </si>
  <si>
    <t>ΑΕ930292</t>
  </si>
  <si>
    <t>ΠΑΝΑΓΙΩΤΗΣ ΑΓΓΕΛΟΣ</t>
  </si>
  <si>
    <t>ΑΒΑΖΑΡΟΣ</t>
  </si>
  <si>
    <t>ΑΕ070793</t>
  </si>
  <si>
    <t>ΑΙΜΙΛΙΟΣ</t>
  </si>
  <si>
    <t>ΜΟΥΧΤΑΡΟΠΟΥΛΟΣ</t>
  </si>
  <si>
    <t>ΑΙ167245</t>
  </si>
  <si>
    <t>ΕΥΣΤΡΑΤΙΟΣ</t>
  </si>
  <si>
    <t>ΚΑΜΠΕΡ</t>
  </si>
  <si>
    <t>ΑΜ926832</t>
  </si>
  <si>
    <t>ΣΤΕΡΓΙΟΣ</t>
  </si>
  <si>
    <t>ΑΕ282707</t>
  </si>
  <si>
    <t>ΔΕΣΠΟΙΝΑ</t>
  </si>
  <si>
    <t>ΚΑΡΠΟΥΖΑ</t>
  </si>
  <si>
    <t>ΑΗ292058</t>
  </si>
  <si>
    <t>ΜΠΟΖΙΝΗΣ</t>
  </si>
  <si>
    <t>ΑΙ393704</t>
  </si>
  <si>
    <t>ΠΟΛΟΝΥΦΗΣ</t>
  </si>
  <si>
    <t>ΑΙ225525</t>
  </si>
  <si>
    <t>ΝΤΖΕΜΟΣ</t>
  </si>
  <si>
    <t>ΑΡ039456</t>
  </si>
  <si>
    <t>ΣΤΑΥΡΟΥ</t>
  </si>
  <si>
    <t>ΑΙ877376</t>
  </si>
  <si>
    <t>ΠΑΡΑΣΚΕΥΑΣ</t>
  </si>
  <si>
    <t>ΦΑΚΟΥΡΕΛΗΣ</t>
  </si>
  <si>
    <t>ΑΝ925530</t>
  </si>
  <si>
    <t>ΚΟΥΒΕΛΑΣ</t>
  </si>
  <si>
    <t>ΑΝ964744</t>
  </si>
  <si>
    <t>ΖΑΡΑΓΚΑΣ</t>
  </si>
  <si>
    <t>ΑΗ740814</t>
  </si>
  <si>
    <t>ΣΤΑΣΙΝΟΠΟΥΛΟΥ</t>
  </si>
  <si>
    <t>ΑΙ335997</t>
  </si>
  <si>
    <t>ΝΟΥΛΗΣ</t>
  </si>
  <si>
    <t>ΑΕ785563</t>
  </si>
  <si>
    <t>ΜΑΣΟΥΡΑ</t>
  </si>
  <si>
    <t>AM822425</t>
  </si>
  <si>
    <t>ΚΑΡΑΧΡΗΣΤΟΣ</t>
  </si>
  <si>
    <t>ΑΝ858439</t>
  </si>
  <si>
    <t>ΝΤΑΓΚΑΣ</t>
  </si>
  <si>
    <t>ΑΝ346066</t>
  </si>
  <si>
    <t>ΒΑΓΓΕΛΗΣ</t>
  </si>
  <si>
    <t>AM787866</t>
  </si>
  <si>
    <t>ΝΟΥΛΑ</t>
  </si>
  <si>
    <t>ΑΝ 794788</t>
  </si>
  <si>
    <t>ΖΑΦΕΙΡΙΑΔΗΣ</t>
  </si>
  <si>
    <t>ΑΗ345054</t>
  </si>
  <si>
    <t>ΠΑΝΟΥΣΗΣ</t>
  </si>
  <si>
    <t>ΑΜ770406</t>
  </si>
  <si>
    <t>ΑΝ793310</t>
  </si>
  <si>
    <t>ΣΤΑΜΠΟΥΛΟΓΛΟΥ</t>
  </si>
  <si>
    <t>Α00349889</t>
  </si>
  <si>
    <t>ΗΛΙΑΝΑ</t>
  </si>
  <si>
    <t>ΑΜ863040</t>
  </si>
  <si>
    <t>ΣΚΑΝΔΑΛΗΣ</t>
  </si>
  <si>
    <t>ΑΡ902654</t>
  </si>
  <si>
    <t>ΛΑΧΑΝΟΣ</t>
  </si>
  <si>
    <t>ΑΙ851859</t>
  </si>
  <si>
    <t>ΒΟΛΤΣΗ</t>
  </si>
  <si>
    <t>ΑΒ113018</t>
  </si>
  <si>
    <t>ΑΝΔΡΕΑΣ ΜΑΡΙΟΣ</t>
  </si>
  <si>
    <t>ΚΙΝΤΑΡΗ</t>
  </si>
  <si>
    <t>ΑΚ684893</t>
  </si>
  <si>
    <t>ΘΕΟΔΩΡΑ ΜΑΡΙΑ</t>
  </si>
  <si>
    <t>ΚΑΤΣΑΒΟΥ</t>
  </si>
  <si>
    <t>ΑΝ853227</t>
  </si>
  <si>
    <t>ΤΣΟΥΜΛΕΚΗΣ</t>
  </si>
  <si>
    <t>ΔΗΜΟΣΘΕΝΗΣ</t>
  </si>
  <si>
    <t>ΛΙΟΛΙΟΠΟΥΛΟΣ</t>
  </si>
  <si>
    <t>ΑΕ846223</t>
  </si>
  <si>
    <t>ΚΑΡΑΓΙΩΤΗ</t>
  </si>
  <si>
    <t>ΑΜ515463</t>
  </si>
  <si>
    <t>ΘΕΟΦΙΛΟΠΟΥΛΟΥ</t>
  </si>
  <si>
    <t>ΑΡ156974</t>
  </si>
  <si>
    <t>ΧΑΙΔΩ</t>
  </si>
  <si>
    <t>ΣΑΚΛΑΡΑ</t>
  </si>
  <si>
    <t>ΑΕ986675</t>
  </si>
  <si>
    <t>ΓΙΑΝΝΑΡΟΣ</t>
  </si>
  <si>
    <t>ΑΗ451756</t>
  </si>
  <si>
    <t>ΚΟΥΤΣΟΥΚΗΣ</t>
  </si>
  <si>
    <t>ΑΒ534627</t>
  </si>
  <si>
    <t>ΠΑΠΑΓΡΗΓΟΡΙΟΥ</t>
  </si>
  <si>
    <t>Α00331581</t>
  </si>
  <si>
    <t>ΦΥΤΟΠΟΥΛΟΥ</t>
  </si>
  <si>
    <t>ΑΝ903236</t>
  </si>
  <si>
    <t>ΠΑΠΑΜΑΡΚΑΚΗ</t>
  </si>
  <si>
    <t>ΑΗ780184</t>
  </si>
  <si>
    <t>ΜΑΜΟΥΖΕΛΛΟΥ</t>
  </si>
  <si>
    <t>ΑΝ958479</t>
  </si>
  <si>
    <t>ΜΠΙΚΑΣ</t>
  </si>
  <si>
    <t>ΑΟ332257</t>
  </si>
  <si>
    <t>ΑΕ275804</t>
  </si>
  <si>
    <t>ΧΑΝΤΑΒΑΡΙΔΟΥ</t>
  </si>
  <si>
    <t>ΑΙ324191</t>
  </si>
  <si>
    <t>ΔΗΜΟΣ</t>
  </si>
  <si>
    <t>AI261085</t>
  </si>
  <si>
    <t>ΚΑΚΟΥΡΗ</t>
  </si>
  <si>
    <t>ΑΜ324787</t>
  </si>
  <si>
    <t>ΚΟΤΣΗ</t>
  </si>
  <si>
    <t>ΑΙ830212</t>
  </si>
  <si>
    <t>ΑΛΕΞΑΝΔΡΑ</t>
  </si>
  <si>
    <t>ΤΕΡΕΖΗ</t>
  </si>
  <si>
    <t>ΑΖ205637</t>
  </si>
  <si>
    <t>ΑΡ331543</t>
  </si>
  <si>
    <t>ΜΠΑΞΕΒΑΝΙΔΗΣ</t>
  </si>
  <si>
    <t>ΑΒ375196</t>
  </si>
  <si>
    <t>ΠΕΡΠΕΡΙΔΗΣ</t>
  </si>
  <si>
    <t>ΑΜ899797</t>
  </si>
  <si>
    <t>ΛΙΑΠΤΣΗ</t>
  </si>
  <si>
    <t>ΑΑ411188</t>
  </si>
  <si>
    <t>ΑΝΔΡΕΟΠΟΥΛΟΥ</t>
  </si>
  <si>
    <t>ΑΝ386204</t>
  </si>
  <si>
    <t>ΠΑΤΣΟΓΑΣ</t>
  </si>
  <si>
    <t>ΑΚ392034</t>
  </si>
  <si>
    <t>ΙΑΣΩΝ</t>
  </si>
  <si>
    <t>ΠΑΠΑΣΠΗΛΙΟΥ</t>
  </si>
  <si>
    <t>ΑΚ028754</t>
  </si>
  <si>
    <t>ΑΝ379613</t>
  </si>
  <si>
    <t>ΚΙΛΙΚΙΔΟΥ</t>
  </si>
  <si>
    <t>ΑΗ811055</t>
  </si>
  <si>
    <t>ΤΟΥΡΝΑΣ</t>
  </si>
  <si>
    <t>ΑΚ982202</t>
  </si>
  <si>
    <t>ΑΡ897733</t>
  </si>
  <si>
    <t>ΜΠΑΡΜΠΕΡΗΣ</t>
  </si>
  <si>
    <t>Α0293591</t>
  </si>
  <si>
    <t>ΚΗΡΟΠΟΥΛΟΣ</t>
  </si>
  <si>
    <t>ΑΙ708112</t>
  </si>
  <si>
    <t>ΜΑΝΘΟΣ</t>
  </si>
  <si>
    <t>ΓΕΩΡΓΙΑΔΗΣ</t>
  </si>
  <si>
    <t>ΒΟΥΛΓΑΡΑΚΗΣ</t>
  </si>
  <si>
    <t>ΑΙ846053</t>
  </si>
  <si>
    <t>ΚΟΝΤΑΞΗ</t>
  </si>
  <si>
    <t>ΑΗ391106</t>
  </si>
  <si>
    <t>ΚΟΥΤΟΥΚΛΕΡ</t>
  </si>
  <si>
    <t>ΑΜ399502</t>
  </si>
  <si>
    <t>ΖΑΦΕΙΡΙΔΟΥ</t>
  </si>
  <si>
    <t>ΑΗ977349</t>
  </si>
  <si>
    <t>ΣΕΛΗΝΙΩΤΑΚΗΣ</t>
  </si>
  <si>
    <t>ΑΜ956695</t>
  </si>
  <si>
    <t>ΑΗ605981</t>
  </si>
  <si>
    <t>ΚΑΛΟΣ</t>
  </si>
  <si>
    <t>ΑΝ814600</t>
  </si>
  <si>
    <t>ΓΑΡΑΝΤΖΩΤΗΣ</t>
  </si>
  <si>
    <t>ΑΙ072800</t>
  </si>
  <si>
    <t>ΚΑΡΔΑΜΑΚΗ</t>
  </si>
  <si>
    <t>ΑΒ189427</t>
  </si>
  <si>
    <t>ΠΑΠΟΥΛΙΔΟΥ</t>
  </si>
  <si>
    <t>ΑΒ859440</t>
  </si>
  <si>
    <t>ΑΛΗ</t>
  </si>
  <si>
    <t>ΧΑΣΑΝΟΓΛΟΥ</t>
  </si>
  <si>
    <t>Χ-5312</t>
  </si>
  <si>
    <t>ΑΜ500129</t>
  </si>
  <si>
    <t>ΕΥΑΓΓΕΛΗΣ</t>
  </si>
  <si>
    <t>ΑΚ951155</t>
  </si>
  <si>
    <t>ΠΡΑΣΣΑΚΗ</t>
  </si>
  <si>
    <t>Α00199868</t>
  </si>
  <si>
    <t>ΑΙ776726</t>
  </si>
  <si>
    <t>ΚΑΤΣΟΥΚΗΣ</t>
  </si>
  <si>
    <t>ΑΜ346942</t>
  </si>
  <si>
    <t>ΠΑΝΑΓΟΥΛΙΑΣ</t>
  </si>
  <si>
    <t>ΑΜ522478</t>
  </si>
  <si>
    <t>ΓΙΑΝΝΑΚΟΠΟΥΛΟΣ</t>
  </si>
  <si>
    <t>ΑΝ314242</t>
  </si>
  <si>
    <t>ΠΑΝΑΓΙΩΤΑ ΠΑΡΑΣΚΕΥΗ</t>
  </si>
  <si>
    <t>ΝΙΚΟΛΟΠΟΥΛΟΥ</t>
  </si>
  <si>
    <t>AN808716</t>
  </si>
  <si>
    <t>ΚΟΣΚΟΡΕΛΛΟΣ</t>
  </si>
  <si>
    <t>ΑΙ510063</t>
  </si>
  <si>
    <t>ΑΗ349301</t>
  </si>
  <si>
    <t>ΒΑΣΙΛΙΚΗ ΓΑΒΡΙΕΛΑ</t>
  </si>
  <si>
    <t>ΑΙ529344</t>
  </si>
  <si>
    <t>ΓΙΑΝΤΣΙΔΗ</t>
  </si>
  <si>
    <t>Χ912860</t>
  </si>
  <si>
    <t>ΣΠΥΡΟΓΛΟΥ</t>
  </si>
  <si>
    <t>ΑΝ712840</t>
  </si>
  <si>
    <t>ΛΥΜΠΑΡΗΣ</t>
  </si>
  <si>
    <t>ΑΚ985066</t>
  </si>
  <si>
    <t>ΜΕΤΟΧΙΑΝΑΚΗΣ</t>
  </si>
  <si>
    <t>ΑΗ283242</t>
  </si>
  <si>
    <t>ΚΑΚΑΡΑΝΤΖΑΣ</t>
  </si>
  <si>
    <t>ΑΕ284670</t>
  </si>
  <si>
    <t>ΜΙΧΑΛΑΚΗ</t>
  </si>
  <si>
    <t>ΑΗ344767</t>
  </si>
  <si>
    <t>ΛΑΜΠΡΙΑΝΙΔΗΣ</t>
  </si>
  <si>
    <t>ΑΙ905721</t>
  </si>
  <si>
    <t>ΚΟΥΚΟΥΣΙΑΝΟΣ</t>
  </si>
  <si>
    <t>ΑΚ084961</t>
  </si>
  <si>
    <t>ΖΑΡΝΟΜΗΤΡΟΣ</t>
  </si>
  <si>
    <t>ΑΡ300996</t>
  </si>
  <si>
    <t>ΤΖΙΝΕΡΗΣ</t>
  </si>
  <si>
    <t>ΑΙ815895</t>
  </si>
  <si>
    <t>ΖΑΒΙΤΣΑΝΟΣ</t>
  </si>
  <si>
    <t>ΑΖ718406</t>
  </si>
  <si>
    <t>ΜΑΥΡΟΥΔΗΣ</t>
  </si>
  <si>
    <t>ΑΝ912153</t>
  </si>
  <si>
    <t>ΣΩΚΡΑΤΗΣ</t>
  </si>
  <si>
    <t>ΑΟ725033</t>
  </si>
  <si>
    <t>ΓΙΑΝΝΑΚΙΔΗΣ</t>
  </si>
  <si>
    <t>ΑΙ722161</t>
  </si>
  <si>
    <t>ΚΙΤΣΙΟΥ</t>
  </si>
  <si>
    <t>ΑΝ289615</t>
  </si>
  <si>
    <t>ΑΥΓΕΡΟΔΗΜΟΣ</t>
  </si>
  <si>
    <t>ΑΟ149114</t>
  </si>
  <si>
    <t>ΜΠΡΕΝΤΑ</t>
  </si>
  <si>
    <t>ΑΚ919290</t>
  </si>
  <si>
    <t>ΚΑΡΑΓΕΩΡΓΙΟΥ</t>
  </si>
  <si>
    <t>ΑΚ922903</t>
  </si>
  <si>
    <t>ΣΑΪΤΑΝΗΣ</t>
  </si>
  <si>
    <t>ΑΟ481617</t>
  </si>
  <si>
    <t>ΜΟΥΤΣΙΟΥΚΑΠΑΣ</t>
  </si>
  <si>
    <t>ΑΜ412707</t>
  </si>
  <si>
    <t>ΓΕΩΡΓΙΛΑΣ - ΚΟΡΩΝΙΩΤΗΣ</t>
  </si>
  <si>
    <t>ΑΕ557880</t>
  </si>
  <si>
    <t>ΚΑΤΣΑΟΥΝΗΣ</t>
  </si>
  <si>
    <t>Α00338623</t>
  </si>
  <si>
    <t>ΑΗ945001</t>
  </si>
  <si>
    <t>ΑΣΗΜΙΝΑ</t>
  </si>
  <si>
    <t>ΜΑΝΤΖΟΡΟΥ</t>
  </si>
  <si>
    <t>ΑΗ544113</t>
  </si>
  <si>
    <t>ΔΙΑΝΕΜΟΥ</t>
  </si>
  <si>
    <t>ΑΗ505319</t>
  </si>
  <si>
    <t>ΝΤΟΥΜΑΝΙΔΗΣ</t>
  </si>
  <si>
    <t>ΚΑΝΕΛΛΟΠΟΥΛΟΣ</t>
  </si>
  <si>
    <t>ΑΗ708447</t>
  </si>
  <si>
    <t>ΜΑΝΤΡΑΤΖΗ</t>
  </si>
  <si>
    <t>ΑΜ879396</t>
  </si>
  <si>
    <t>ΛΕΤΣΙΟΣ</t>
  </si>
  <si>
    <t>ΑΝ350135</t>
  </si>
  <si>
    <t>ΩΚΟΥΤΣΙΔΗΣ</t>
  </si>
  <si>
    <t>ΑΒ872886</t>
  </si>
  <si>
    <t>ΙΑΤΡΟΥΔΗΣ</t>
  </si>
  <si>
    <t>Α00223611</t>
  </si>
  <si>
    <t>ΔΙΑΜΑΝΤΟΠΟΥΛΟΥ</t>
  </si>
  <si>
    <t>ΑΚ253323</t>
  </si>
  <si>
    <t>ΔΕΜΕΤΖΟΣ</t>
  </si>
  <si>
    <t>ΣΑΧΙΝΙΔΗΣ</t>
  </si>
  <si>
    <t>AN822631</t>
  </si>
  <si>
    <t>ΠΑΠΑΚΩΝΣΤΑΝΤΙΝΟΠΟΥΛΟΣ</t>
  </si>
  <si>
    <t>ΞΥΝΟΓΑΛΟΣ</t>
  </si>
  <si>
    <t>ΑΚ771133</t>
  </si>
  <si>
    <t>ΛΑΛΟΥΣΗΣ</t>
  </si>
  <si>
    <t>ΑΕ753740</t>
  </si>
  <si>
    <t>ΣΤΕΛΙΟΣ</t>
  </si>
  <si>
    <t>ΜΑΝΤΖΑΝΑΣ</t>
  </si>
  <si>
    <t>ΑΚ414381</t>
  </si>
  <si>
    <t>ΑΝ815452</t>
  </si>
  <si>
    <t>ΚΟΤΣΑΥΤΗ</t>
  </si>
  <si>
    <t>ΑΙ 759213</t>
  </si>
  <si>
    <t>ΑΟ 315481</t>
  </si>
  <si>
    <t>Α00217690</t>
  </si>
  <si>
    <t>ΑΚ859210</t>
  </si>
  <si>
    <t>ΤΣΙΟΥΤΣΙΟΥΜΗΣ</t>
  </si>
  <si>
    <t>ΑΗ762395</t>
  </si>
  <si>
    <t>ΚΥΡΜΙΖΟΥΔΗΣ</t>
  </si>
  <si>
    <t>ΑΑ761748</t>
  </si>
  <si>
    <t>ΠΑΠΑΚΩΣΤΑΣ</t>
  </si>
  <si>
    <t>ΑΚ428291</t>
  </si>
  <si>
    <t>ΚΑΡΑΝΑΣΙΟΣ</t>
  </si>
  <si>
    <t>ΑΗ785633</t>
  </si>
  <si>
    <t>ΕΙΡΗΝΗ ΜΑΡΙΑ</t>
  </si>
  <si>
    <t>ΓΚΕΖΕΠΗ</t>
  </si>
  <si>
    <t>ΑΖ391879</t>
  </si>
  <si>
    <t>ΤΣΟΥΛΟΥ</t>
  </si>
  <si>
    <t>ΑΗ 624853</t>
  </si>
  <si>
    <t>ΛΑΜΠΡΑΚΑΚΗ</t>
  </si>
  <si>
    <t>AT5644013</t>
  </si>
  <si>
    <t>ΠΕΡΓΑΜΑΛΗ</t>
  </si>
  <si>
    <t>ΑΗ482518</t>
  </si>
  <si>
    <t>ΑΙ981590</t>
  </si>
  <si>
    <t>ΓΕΩΡΓΟΠΟΥΛΟΥ</t>
  </si>
  <si>
    <t>Χ717995</t>
  </si>
  <si>
    <t>ΑΛΕΞΑΝΔΡΗΣ</t>
  </si>
  <si>
    <t>ΑΗ620070</t>
  </si>
  <si>
    <t>ΑΝΔΡΕΟΥ</t>
  </si>
  <si>
    <t>ΑΝ983336</t>
  </si>
  <si>
    <t>ΧΑΜΟΣΦΑΚΙΔΗΣ</t>
  </si>
  <si>
    <t>ΑΙ552220</t>
  </si>
  <si>
    <t>ΑΜ580534</t>
  </si>
  <si>
    <t>ΜΙΧΑΗΛΙΔΗ</t>
  </si>
  <si>
    <t>ΑΗ574581</t>
  </si>
  <si>
    <t>ΑΖ996238</t>
  </si>
  <si>
    <t>ΤΣΙΡΑΟΓΛΟΥ</t>
  </si>
  <si>
    <t>ΑΙ949430</t>
  </si>
  <si>
    <t>ΜΑΓΔΑΛΗΝΗ ΜΑΡΙΑ</t>
  </si>
  <si>
    <t>ΤΣΙΓΚΑΡΟΠΟΥΛΟΥ</t>
  </si>
  <si>
    <t>ΑΜ871774</t>
  </si>
  <si>
    <t>ΚΑΦΑΣΗ</t>
  </si>
  <si>
    <t>ΑΜ013510</t>
  </si>
  <si>
    <t>ΦΡΑΓΚΑΚΗΣ</t>
  </si>
  <si>
    <t>ΑΙ468054</t>
  </si>
  <si>
    <t>ΚΩΣΤΟΠΟΥΛΟΥ</t>
  </si>
  <si>
    <t>ΑΜ725557</t>
  </si>
  <si>
    <t>ΚΟΤΣΙΑΦΙΤΗΣ</t>
  </si>
  <si>
    <t>ΜΑΛΙΑΚΗΣ</t>
  </si>
  <si>
    <t>ΑΗ774393</t>
  </si>
  <si>
    <t>ΓΡΗΓΟΡΙΑΔΗΣ</t>
  </si>
  <si>
    <t>ΑΗ791800</t>
  </si>
  <si>
    <t>ΣΤΑΜΑΤΙΑ</t>
  </si>
  <si>
    <t>ΑΓΡΙΟΔΗΜΟΥ</t>
  </si>
  <si>
    <t>ΑΙ83749</t>
  </si>
  <si>
    <t>ΟΡΛΗΣ</t>
  </si>
  <si>
    <t>ΑΚ985701</t>
  </si>
  <si>
    <t>ΠΕΤΡΟΥΣΗΣ</t>
  </si>
  <si>
    <t>ΜΑΜΜΗ</t>
  </si>
  <si>
    <t>ΑΝ786699</t>
  </si>
  <si>
    <t>ΚΑΣΤΑΝΙΔΗΣ</t>
  </si>
  <si>
    <t>ΑΡ402399</t>
  </si>
  <si>
    <t>ΓΕΩΡΓΑΝΑΚΗΣ</t>
  </si>
  <si>
    <t>ΑΡ896084</t>
  </si>
  <si>
    <t>ΒΥΖΙΡΓΙΑΝΝΑΚΗ</t>
  </si>
  <si>
    <t>ΑΙ459559</t>
  </si>
  <si>
    <t>ΚΟΥΡΚΟΥΤΜΑΝΟΥ</t>
  </si>
  <si>
    <t>ΑΗ290938</t>
  </si>
  <si>
    <t>ΜΠΑΖΙΓΟΣ</t>
  </si>
  <si>
    <t>ΑΡ637742</t>
  </si>
  <si>
    <t>ΛΕΡΗ</t>
  </si>
  <si>
    <t>ΑΖ499900</t>
  </si>
  <si>
    <t>ΜΑΡΓΑΡΙΤΑ</t>
  </si>
  <si>
    <t>ΑΙ685917</t>
  </si>
  <si>
    <t>ΜΙΧΕΛΑΚΟΥ</t>
  </si>
  <si>
    <t>ΑΜ550018</t>
  </si>
  <si>
    <t>ΓΙΟΒΑΝΗΣ</t>
  </si>
  <si>
    <t>ΑΟ749555</t>
  </si>
  <si>
    <t>ΔΡΑΤΖΙΔΗΣ</t>
  </si>
  <si>
    <t>ΝΤΕΛΗΣ</t>
  </si>
  <si>
    <t>ΑΙ979954</t>
  </si>
  <si>
    <t>ΦΙΛΙΑΝΑΚΗΣ</t>
  </si>
  <si>
    <t>ΑΗ282634</t>
  </si>
  <si>
    <t>ΓΙΑΝΝΑΚΙΔΟΥ</t>
  </si>
  <si>
    <t>ΑΗ924736</t>
  </si>
  <si>
    <t>ΦΑΣΦΑΛΗΣ</t>
  </si>
  <si>
    <t>ΑΖ763632</t>
  </si>
  <si>
    <t>ΒΛΑΣΙΟΣ</t>
  </si>
  <si>
    <t>ΓΙΑΤΡΟΣ</t>
  </si>
  <si>
    <t>ΑΑ072136</t>
  </si>
  <si>
    <t>ΑΙΚΑΤΕΡΙΝΗ-ΑΡΤΕΜΙΣ</t>
  </si>
  <si>
    <t>ΠΟΛΥΔΕΡΑ</t>
  </si>
  <si>
    <t>ΑΚ595577</t>
  </si>
  <si>
    <t>ΠΑΡΑΣΚΕΥΗ ΜΑΡΙΑ</t>
  </si>
  <si>
    <t>ΜΑΛΛΙΟΥ</t>
  </si>
  <si>
    <t>ΑΚ422291</t>
  </si>
  <si>
    <t>ΑΡΓΥΡΟΥΛΗ</t>
  </si>
  <si>
    <t>ΑΒ101280</t>
  </si>
  <si>
    <t>ΜΟΥΣΟΥΛΗ</t>
  </si>
  <si>
    <t>ΑΟ748295</t>
  </si>
  <si>
    <t>ΣΑΜΙΟΣ</t>
  </si>
  <si>
    <t>ΤΑΦΑΡΛΗΣ</t>
  </si>
  <si>
    <t>ΑΝ344830</t>
  </si>
  <si>
    <t>ΚΑΤΣΙΚΟΣ</t>
  </si>
  <si>
    <t>ΑΑ382432</t>
  </si>
  <si>
    <t>ΚΟΥΛΠΑΣ</t>
  </si>
  <si>
    <t>ΑΜ 390361</t>
  </si>
  <si>
    <t>ΠΑΠΑ</t>
  </si>
  <si>
    <t>ΑΙ170791</t>
  </si>
  <si>
    <t>ΛΟΥΣΚΟΣ</t>
  </si>
  <si>
    <t>Λ4778</t>
  </si>
  <si>
    <t>ΘΕΟΛΟΓΙΑ</t>
  </si>
  <si>
    <t>ΚΑΛΑΦΑΤΗ ΜΑΤΘΑΙΟΥ</t>
  </si>
  <si>
    <t>ΑΑ804619</t>
  </si>
  <si>
    <t>ΤΡΕΣΙΝΤΣΗ</t>
  </si>
  <si>
    <t>ΑΡ253067</t>
  </si>
  <si>
    <t>ΒΑΛΣΑΜΗΣ</t>
  </si>
  <si>
    <t>AH713151</t>
  </si>
  <si>
    <t>ΘΕΑΝΩ</t>
  </si>
  <si>
    <t>ΚΟΤΙΤΣΑ</t>
  </si>
  <si>
    <t>ΑΡ326734</t>
  </si>
  <si>
    <t>ΚΟΥΡΤΕΛΗΣ</t>
  </si>
  <si>
    <t>ΑΜ322143</t>
  </si>
  <si>
    <t>ΦΙΤΣΑ</t>
  </si>
  <si>
    <t>Α00277193</t>
  </si>
  <si>
    <t>ΞΕΝΙΔΗ</t>
  </si>
  <si>
    <t>ΑΚ353462</t>
  </si>
  <si>
    <t>ΠΗΤΑ</t>
  </si>
  <si>
    <t>ΑΗ789696</t>
  </si>
  <si>
    <t>ΚΟΥΡΤΗΣ</t>
  </si>
  <si>
    <t>ΑΟ403675</t>
  </si>
  <si>
    <t>ΜΠΟΥΡΑΖΑΝΑΣ</t>
  </si>
  <si>
    <t xml:space="preserve">AK406184 </t>
  </si>
  <si>
    <t>ΓΕΩΡΓΟΣ</t>
  </si>
  <si>
    <t>ΧΡΥΣΟΠΟΥΛΟΣ</t>
  </si>
  <si>
    <t>ΑΗ817729</t>
  </si>
  <si>
    <t>ΣΠΑΝΟΜΗΤΣΙΟΣ</t>
  </si>
  <si>
    <t>ΑΖ104880</t>
  </si>
  <si>
    <t>ΑΒ991677</t>
  </si>
  <si>
    <t>ΚΟΥΝΕΛΑΚΗ</t>
  </si>
  <si>
    <t>ΑΗ465423</t>
  </si>
  <si>
    <t>ΜΠΟΥΚΟΥΒΑΛΑΣ</t>
  </si>
  <si>
    <t>ΑΡΓΥΡΩ ΗΡΩ</t>
  </si>
  <si>
    <t>ΦΛΩΡΟΥ</t>
  </si>
  <si>
    <t>ΑΡ080071</t>
  </si>
  <si>
    <t>ΜΑΡΙΑ-ΝΟΜΙΚΗ</t>
  </si>
  <si>
    <t>ΗΛΙΑ</t>
  </si>
  <si>
    <t>ΑΒ476860</t>
  </si>
  <si>
    <t>ΤΡΙΑΝΤΑΦΥΛΛΙΔΗΣ</t>
  </si>
  <si>
    <t>ΑΟ396845</t>
  </si>
  <si>
    <t>ΜΠΙΡΜΠΙΛΗΣ</t>
  </si>
  <si>
    <t>ΑΝ793091</t>
  </si>
  <si>
    <t>ΑΧΙΛΛΕΥΣ</t>
  </si>
  <si>
    <t>ΜΙΤΙΛΗΣ</t>
  </si>
  <si>
    <t>ΑΟ743086</t>
  </si>
  <si>
    <t>ΜΠΟΥΡΑΖΕΡΗΣ</t>
  </si>
  <si>
    <t>ΑΝ558835</t>
  </si>
  <si>
    <t>ΕΥΑΓΓΕΛΙΑ ΣΤΥΛΙΑΝΗ</t>
  </si>
  <si>
    <t>ΒΟΥΒΟΥΛΗ</t>
  </si>
  <si>
    <t>ΑΙ913853</t>
  </si>
  <si>
    <t>ΣΩΚΟΣ</t>
  </si>
  <si>
    <t>ΑΕ728897</t>
  </si>
  <si>
    <t>ΜΑΤΤΑΣ</t>
  </si>
  <si>
    <t>ΑΝ733924</t>
  </si>
  <si>
    <t>ΝΤΟΝΤΟΣ</t>
  </si>
  <si>
    <t>ΜΕΜΕΤ</t>
  </si>
  <si>
    <t>ΝΤΕΜΕΡΤΖΗ</t>
  </si>
  <si>
    <t>ΑΟ099157</t>
  </si>
  <si>
    <t>ΝΙΚΟΛΑΟΣ ΡΑΦΑΗΛ</t>
  </si>
  <si>
    <t>ΝΑΤΑΣ</t>
  </si>
  <si>
    <t>ΑΚ981966</t>
  </si>
  <si>
    <t>ΑΗ747256</t>
  </si>
  <si>
    <t>ΒΛΑΔΟΒΙΤΗΣ</t>
  </si>
  <si>
    <t>ΑΙ894146</t>
  </si>
  <si>
    <t>ΑΟ950241</t>
  </si>
  <si>
    <t>ΦΛΙΓΚΟΣ</t>
  </si>
  <si>
    <t>ΑΙ848892</t>
  </si>
  <si>
    <t>ΠΕΤΡΙΔΟΥ</t>
  </si>
  <si>
    <t>ΑΕ674898</t>
  </si>
  <si>
    <t>ΝΙΚΟΛΕΤΑ</t>
  </si>
  <si>
    <t>ΑΝΔΡΕΑΚΟΥ</t>
  </si>
  <si>
    <t>ΑΙ803921</t>
  </si>
  <si>
    <t>ΜΑΝΤΕΛΟΣ</t>
  </si>
  <si>
    <t>AH718127</t>
  </si>
  <si>
    <t>ΧΗΡΑ</t>
  </si>
  <si>
    <t>AO952693</t>
  </si>
  <si>
    <t>ΓΚΟΥΝΤΕΛΑΣ</t>
  </si>
  <si>
    <t>ΑΖ782509</t>
  </si>
  <si>
    <t>ΛΙΤΤΑ</t>
  </si>
  <si>
    <t>ΑΒ855647</t>
  </si>
  <si>
    <t>ΣΠΥΡΟΠΟΥΛΟΣ</t>
  </si>
  <si>
    <t xml:space="preserve">ΑΖ707354  </t>
  </si>
  <si>
    <t>ΠΕΤΑΝΙΤΗΣ</t>
  </si>
  <si>
    <t>ΑΙ816642</t>
  </si>
  <si>
    <t>ΠΑΣΧΑΛΙΑ</t>
  </si>
  <si>
    <t>ΖΕΛΤΣΗ</t>
  </si>
  <si>
    <t>ΑΡ822099</t>
  </si>
  <si>
    <t>ΑΝ820522</t>
  </si>
  <si>
    <t>ΖΗΡΟΠΟΥΛΟΣ</t>
  </si>
  <si>
    <t>ΑΝ434419</t>
  </si>
  <si>
    <t>ΑΙ191674</t>
  </si>
  <si>
    <t>ΦΥΛΑΚΤΟΣ</t>
  </si>
  <si>
    <t>ΚΥΡΟΥΣΗ</t>
  </si>
  <si>
    <t>ΑΟ337073</t>
  </si>
  <si>
    <t>ΓΚΟΥΒΑΣ</t>
  </si>
  <si>
    <t>ΑΟ858266</t>
  </si>
  <si>
    <t>ΑΑ443292</t>
  </si>
  <si>
    <t>ΔΗΜΗΤΡΙΟΣ ΑΓΓΕΛΟΣ</t>
  </si>
  <si>
    <t>ΤΣΙΑΤΣΙΟΣ</t>
  </si>
  <si>
    <t>ΑΚ428711</t>
  </si>
  <si>
    <t>ΡΟΧΑΤ ΕΛΕΥΘΕΡΙΟΣ</t>
  </si>
  <si>
    <t>ΚΑΥΝΑΚ</t>
  </si>
  <si>
    <t>ΑΖ888579</t>
  </si>
  <si>
    <t>ΠΡΑΣΟΠΟΥΛΟΥ</t>
  </si>
  <si>
    <t>ΑΚ671998</t>
  </si>
  <si>
    <t>ΠΑΠΑΡΡΗΓΟΠΟΥΛΟΥ</t>
  </si>
  <si>
    <t>ΑΜ739537</t>
  </si>
  <si>
    <t>ΑΙ352302</t>
  </si>
  <si>
    <t>ΦΛΕΓΓΑΣ</t>
  </si>
  <si>
    <t>ΑΝ850818</t>
  </si>
  <si>
    <t>ΓΚΟΚΑ</t>
  </si>
  <si>
    <t>ΑΙ262150</t>
  </si>
  <si>
    <t>ΜΑΡΑΠΙΔΗΣ</t>
  </si>
  <si>
    <t>ΑΒ738754</t>
  </si>
  <si>
    <t>ΡΑΛΛΙΑΔΟΥ</t>
  </si>
  <si>
    <t>ΑΙ909933</t>
  </si>
  <si>
    <t>ΝΤΙΝΟΠΟΥΛΟΣ</t>
  </si>
  <si>
    <t>ΑΗ894581</t>
  </si>
  <si>
    <t>ΔΗΜΑΚΟΠΟΥΛΟΣ</t>
  </si>
  <si>
    <t>ΑΖ816592</t>
  </si>
  <si>
    <t>ΠΑΠΑΔΗΜΑΣ</t>
  </si>
  <si>
    <t>ΑΜ982739</t>
  </si>
  <si>
    <t>ΚΟΝΤΟΛΑΤΗ</t>
  </si>
  <si>
    <t>ΑΙ998054</t>
  </si>
  <si>
    <t>ΑΗ407647</t>
  </si>
  <si>
    <t>ΑΣΤΕΡΟΠΟΥΛΟΣ</t>
  </si>
  <si>
    <t>ΑΜ315872</t>
  </si>
  <si>
    <t>ΠΙΠΙΛΑΣ</t>
  </si>
  <si>
    <t>ΑΝ350931</t>
  </si>
  <si>
    <t>ΑΡΑΠΟΓΛΟΥ ΚΑΡΑΓΙΑΝΝΗ</t>
  </si>
  <si>
    <t>ΑΙ331758</t>
  </si>
  <si>
    <t>ΚΕΧΑΡΙΤΩΜΕΝΗ</t>
  </si>
  <si>
    <t>ΠΟΛΥΖΟΥΔΗ</t>
  </si>
  <si>
    <t>ΑΚ859366</t>
  </si>
  <si>
    <t>ΚΟΨΑΧΕΙΛΗΣ</t>
  </si>
  <si>
    <t>ΑΙ845873</t>
  </si>
  <si>
    <t>ΜΠΙΜΠΑΣΗΣ</t>
  </si>
  <si>
    <t>ΑΜ859416</t>
  </si>
  <si>
    <t>ΑΔΑΜΟΠΟΥΛΟΣ</t>
  </si>
  <si>
    <t>ΑΖ730893</t>
  </si>
  <si>
    <t>ΦΩΤΕΙΝΗ ΜΑΡΙΑ</t>
  </si>
  <si>
    <t>ΑΖ231402</t>
  </si>
  <si>
    <t>ΒΟΥΡΛΟΥΜΗ</t>
  </si>
  <si>
    <t>ΑΜ730627</t>
  </si>
  <si>
    <t>ΑΙ561558</t>
  </si>
  <si>
    <t>ΚΑΡΠΟΥΖΗ</t>
  </si>
  <si>
    <t>ΑΗ916062</t>
  </si>
  <si>
    <t>ΛΑΜΠΡΟΠΟΥΛΟΣ</t>
  </si>
  <si>
    <t>ΑΝ244732</t>
  </si>
  <si>
    <t>ΚΑΛΟΜΠΑΤΣΙΟΣ</t>
  </si>
  <si>
    <t>ΑΜ065321</t>
  </si>
  <si>
    <t>ΝΑΝΝΟΥ</t>
  </si>
  <si>
    <t>ΑΝ826799</t>
  </si>
  <si>
    <t>ΤΑΛΑΙΠΩΡΟΥ</t>
  </si>
  <si>
    <t>ΑΗ305026</t>
  </si>
  <si>
    <t>ΑΗ443589</t>
  </si>
  <si>
    <t>ΜΑΡΚΑΤΟΥ</t>
  </si>
  <si>
    <t>ΑΙ275559</t>
  </si>
  <si>
    <t>ΠΡΕΝΤΖΑΣ</t>
  </si>
  <si>
    <t>ΑΗ978887</t>
  </si>
  <si>
    <t>ΚΑΡΑΝΤΙΑΚΟΥ</t>
  </si>
  <si>
    <t>ΑΙ353101</t>
  </si>
  <si>
    <t>ΠΕΤΡΕΣΗΣ</t>
  </si>
  <si>
    <t>ΑΝ427258</t>
  </si>
  <si>
    <t>ΚΟΥΤΣΟΜΠΙΝΑΣ</t>
  </si>
  <si>
    <t>ΑΜ070889</t>
  </si>
  <si>
    <t>ΖΑΧΑΡΟΥ ΟΤΑΠΑΣΙΔΟΥ</t>
  </si>
  <si>
    <t>ΑΖ069376</t>
  </si>
  <si>
    <t>ΤΡΑΧΑΝΙΔΗΣ</t>
  </si>
  <si>
    <t>ΑΖ324761</t>
  </si>
  <si>
    <t>ΑΟ393855</t>
  </si>
  <si>
    <t>ΑΒ498803</t>
  </si>
  <si>
    <t>ΚΑΝΑΤΣΗΣ</t>
  </si>
  <si>
    <t>ΑΝ695802</t>
  </si>
  <si>
    <t>ΑΣΒΕΣΤΑ</t>
  </si>
  <si>
    <t>ΑΝ618422</t>
  </si>
  <si>
    <t>ΘΑΝΟΠΟΥΛΟΥ</t>
  </si>
  <si>
    <t>ΑΟ628020</t>
  </si>
  <si>
    <t>ΣΑΚΚΑΣ</t>
  </si>
  <si>
    <t>ΑΒ426881</t>
  </si>
  <si>
    <t>ΡΑΠΤΗΣ</t>
  </si>
  <si>
    <t>ΑΚ417013</t>
  </si>
  <si>
    <t>ΠΕΤΡΟΥΛΑΚΗ</t>
  </si>
  <si>
    <t>ΑΜ547492</t>
  </si>
  <si>
    <t>ΜΑΛΑΧΙΑΣ</t>
  </si>
  <si>
    <t>ΑΟ180727</t>
  </si>
  <si>
    <t>ΟΥΡΑΝΙΑ-ΚΑΡΜΕΝ</t>
  </si>
  <si>
    <t>ΓΡΑΨΑ</t>
  </si>
  <si>
    <t>ΑΙ276343</t>
  </si>
  <si>
    <t>ΧΑΙΡΟΠΟΥΛΟΥ</t>
  </si>
  <si>
    <t>ΑΑ412962</t>
  </si>
  <si>
    <t>ΓΚΕΡΤΣΑΚΗΣ</t>
  </si>
  <si>
    <t>ΑΜ404873</t>
  </si>
  <si>
    <t>ΣΚΑΝΙΚΑΣ</t>
  </si>
  <si>
    <t>ΑΙ280594</t>
  </si>
  <si>
    <t xml:space="preserve">ΜΙΧΑΗΛΙΔΗΣ </t>
  </si>
  <si>
    <t>ΑΖ099474</t>
  </si>
  <si>
    <t>ΚΟΡΜΑΣ</t>
  </si>
  <si>
    <t>ΑΟ851469</t>
  </si>
  <si>
    <t>ΑΗ291228</t>
  </si>
  <si>
    <t>ΓΕΩΡΓΙΟΣ ΜΑΡΙΟΣ</t>
  </si>
  <si>
    <t>ΑΙ686611</t>
  </si>
  <si>
    <t>ΑΗ745194</t>
  </si>
  <si>
    <t>ΚΟΥΛΗΣ</t>
  </si>
  <si>
    <t>ΑΗ801094</t>
  </si>
  <si>
    <t>ΣΤΑΥΡΟΥΛΑ ΑΝΑΣΤΑΣΙΑ</t>
  </si>
  <si>
    <t>ΣΕΡΕΛΕΑ</t>
  </si>
  <si>
    <t>ΑΕ264988</t>
  </si>
  <si>
    <t>ΑΗ896926</t>
  </si>
  <si>
    <t>ΔΡΑΓΑΝΙΔΗΣ</t>
  </si>
  <si>
    <t>ΠΑΠΑΝΔΡΕΟΥ</t>
  </si>
  <si>
    <t>ΑΖ744154</t>
  </si>
  <si>
    <t>ΜΑΡΙΑ ΧΡΙΣΤΙΝΗ</t>
  </si>
  <si>
    <t>ΣΟΥΒΑΡΗ</t>
  </si>
  <si>
    <t>ΑΜ976514</t>
  </si>
  <si>
    <t>ΚΑΖΑΝΤΖΗΣ</t>
  </si>
  <si>
    <t>ΑΙ118157</t>
  </si>
  <si>
    <t>ΚΥΡΙΑΚΟΣ  ΜΙΧΑΗΛ</t>
  </si>
  <si>
    <t>ΠΑΝΤΟΥΛΑΣ</t>
  </si>
  <si>
    <t>ΑΝ295125</t>
  </si>
  <si>
    <t>ΛΙΑΚΟΠΟΥΛΟΣ</t>
  </si>
  <si>
    <t>ΑΝ905464</t>
  </si>
  <si>
    <t>ΚΑΤΣΑΝΤΩΝΗΣ</t>
  </si>
  <si>
    <t>ΑΝ343848</t>
  </si>
  <si>
    <t>ΣΚΑΦΙΔΑΣ</t>
  </si>
  <si>
    <t>ΑΟ132405</t>
  </si>
  <si>
    <t>ΠΕΤΣΟΥΛΑ</t>
  </si>
  <si>
    <t>ΑΝ821581</t>
  </si>
  <si>
    <t>ΚΩΝΣΤΑΝΤΙΝΟΣ ΧΡΥΣΟΒΑΛΑΝΤΗΣ</t>
  </si>
  <si>
    <t>ΣΙΟΒΑΣ</t>
  </si>
  <si>
    <t>ΑΜ381302</t>
  </si>
  <si>
    <t>ΝΤΕΜΟΣ</t>
  </si>
  <si>
    <t>ΑΒ210182</t>
  </si>
  <si>
    <t>ΔΑΛΑΜΑΓΚΑΣ</t>
  </si>
  <si>
    <t>ΑΜ651129</t>
  </si>
  <si>
    <t>ΒΑΣΙΛΙΚΗ  ΑΝΝΑ</t>
  </si>
  <si>
    <t>ΑΝ339477</t>
  </si>
  <si>
    <t>ΑΔΑΜΑΝΤΙΟΣ-ΠΑΝΑΓΙΩΤΗΣ</t>
  </si>
  <si>
    <t>ΤΣΙΟΥΡΗΣ</t>
  </si>
  <si>
    <t>ΑΒ806265</t>
  </si>
  <si>
    <t>ΑΡΣΕΝΙΟΥ</t>
  </si>
  <si>
    <t>Α00036459</t>
  </si>
  <si>
    <t>ΜΠΑΧΤΣΕΒΑΝΙΔΗΣ</t>
  </si>
  <si>
    <t>ΑΝ778593</t>
  </si>
  <si>
    <t>ΒΑΙΟΣ</t>
  </si>
  <si>
    <t>ΠΑΣΠΑΛΑΡΗΣ</t>
  </si>
  <si>
    <t>ΑΝ338680</t>
  </si>
  <si>
    <t>ΠΑΠΑΝΙΚΟΣ</t>
  </si>
  <si>
    <t>ΑΗ294608</t>
  </si>
  <si>
    <t>ΝΙΚΟΛΙΤΣΑ</t>
  </si>
  <si>
    <t>ΑΝΑΣΤΑΣΟΠΟΥΛΟΥ</t>
  </si>
  <si>
    <t>ΑΖ210351</t>
  </si>
  <si>
    <t>ΚΩΝΣΤΑΝΤΙΝΙΔΟΥ</t>
  </si>
  <si>
    <t>ΑΒ684415</t>
  </si>
  <si>
    <t>ΑΝΤΩΝΙΑ ΜΑΡΙΑ</t>
  </si>
  <si>
    <t>ΝΤΕΛΑΚΗ</t>
  </si>
  <si>
    <t>ΑΕ730504</t>
  </si>
  <si>
    <t>ΚΟΚΕΛΙΔΗΣ</t>
  </si>
  <si>
    <t>ΑΡ895519</t>
  </si>
  <si>
    <t>AK957439</t>
  </si>
  <si>
    <t>ΜΑΥΡΙΔΗΣ</t>
  </si>
  <si>
    <t>ΑΕ886077</t>
  </si>
  <si>
    <t>ΤΣΟΥΡΑΠΟΥΛΗ</t>
  </si>
  <si>
    <t>ΑΜ324652</t>
  </si>
  <si>
    <t>ΑΓΓΕΛΗΣ</t>
  </si>
  <si>
    <t>ΑΗ242819</t>
  </si>
  <si>
    <t>ΧΡΥΣΟΒΑΛΑΝΤΗ</t>
  </si>
  <si>
    <t>ΤΣΑΚΑΛΑΚΟΥ</t>
  </si>
  <si>
    <t>ΑΚ766149</t>
  </si>
  <si>
    <t>ΑΜΠΑΔΙΩΤΑΚΗΣ</t>
  </si>
  <si>
    <t>ΑΝ943713</t>
  </si>
  <si>
    <t>ΚΟΛΟΒΟΣ</t>
  </si>
  <si>
    <t>ΑΒ591289</t>
  </si>
  <si>
    <t>ΣΩΤΗΡΗΣ</t>
  </si>
  <si>
    <t>ΒΑΤΣΙΛΑΣ</t>
  </si>
  <si>
    <t>ΑΡ 905930</t>
  </si>
  <si>
    <t>ΚΑΤΡΑΜΑΔΑΣ</t>
  </si>
  <si>
    <t>ΧΑΤΖΗΒΑΣΙΛΕΙΑΔΗΣ</t>
  </si>
  <si>
    <t>ΚΑΡΑΒΙΔΟΠΟΥΛΟΥ</t>
  </si>
  <si>
    <t>ΑΝ371620</t>
  </si>
  <si>
    <t>ΒΟΣΔΙΚΗΣ</t>
  </si>
  <si>
    <t>ΑΜ403212</t>
  </si>
  <si>
    <t>ΜΑΝΤΕΣΟΣ</t>
  </si>
  <si>
    <t>ΑΖ877726</t>
  </si>
  <si>
    <t xml:space="preserve">ΔΗΜΗΤΡΗΣ </t>
  </si>
  <si>
    <t>ΚΟΥΚΟΥΤΟΥΔΗΣ</t>
  </si>
  <si>
    <t>ΣΕΤΤΑ</t>
  </si>
  <si>
    <t>AK797994</t>
  </si>
  <si>
    <t>ΒΑΣΙΛΙΚΗ ΑΘΗΝΑ</t>
  </si>
  <si>
    <t>ΦΩΤΕΙΝΟΠΟΥΛΟΥ</t>
  </si>
  <si>
    <t>ΑΙ205217</t>
  </si>
  <si>
    <t>ΑΡΓΥΡΙΟΣ</t>
  </si>
  <si>
    <t>ΠΑΝΤΕΛΙΔΗΣ</t>
  </si>
  <si>
    <t>ΚΑΠΕΡΩΝΗΣ</t>
  </si>
  <si>
    <t>ΑΙ301886</t>
  </si>
  <si>
    <t>ΚΥΡΙΑΚΟΣ</t>
  </si>
  <si>
    <t>ΤΣΙΟΛΑΚΗΣ</t>
  </si>
  <si>
    <t>ΑΚ031427</t>
  </si>
  <si>
    <t>ΜΠΑΜΠΑΛΗΣ</t>
  </si>
  <si>
    <t>ΜΟΥΣΤΑΚΗ</t>
  </si>
  <si>
    <t>ΑΜ564785</t>
  </si>
  <si>
    <t>ΧΡΙΣΤΙΑΝΝΑ</t>
  </si>
  <si>
    <t>ΧΟΥΖΟΥΡΗ</t>
  </si>
  <si>
    <t>ΑΗ934915</t>
  </si>
  <si>
    <t>ΚΩΣΤΗΡΑΣ ΣΤΟΥΡΝΑΡΑΣ</t>
  </si>
  <si>
    <t>Κ-8819</t>
  </si>
  <si>
    <t>ΒΑΜΒΑΚΟΥΣΗΣ</t>
  </si>
  <si>
    <t>ΑΝ331852</t>
  </si>
  <si>
    <t>ΠΑΓΚΑΛΟΣ</t>
  </si>
  <si>
    <t>ΑΡ474305</t>
  </si>
  <si>
    <t>ΧΑΝΤΑΒΑΣ</t>
  </si>
  <si>
    <t>ΑΗ794597</t>
  </si>
  <si>
    <t>ΚΑΛΙΑΡΝΤΑΣ</t>
  </si>
  <si>
    <t>ΑΝΝΑ-ΜΑΡΙΑ</t>
  </si>
  <si>
    <t>ΑΧΛΑΔΙΩΤΗ</t>
  </si>
  <si>
    <t>ΑΜ834324</t>
  </si>
  <si>
    <t>ΜΠΟΥΤΣΙΑΔΗΣ</t>
  </si>
  <si>
    <t>Α00166325</t>
  </si>
  <si>
    <t>ΓΟΥΓΑΡΗΣ</t>
  </si>
  <si>
    <t>ΑΟ248565</t>
  </si>
  <si>
    <t>ΑΖ049221</t>
  </si>
  <si>
    <t>ΚΑΡΕΛΗΣ</t>
  </si>
  <si>
    <t>ΑΟ379423</t>
  </si>
  <si>
    <t>ΚΑΡΑΠΑΠΑΣ</t>
  </si>
  <si>
    <t>AN258863</t>
  </si>
  <si>
    <t>ΠΑΡΘΕΝΑ ΜΑΡΙΑ</t>
  </si>
  <si>
    <t>ΠΑΥΛΟΓΛΟΥ</t>
  </si>
  <si>
    <t>ΑΖ794047</t>
  </si>
  <si>
    <t>ΣΙΔΗΡΟΠΟΥΛΟΣ</t>
  </si>
  <si>
    <t>ΑΖ853599</t>
  </si>
  <si>
    <t>ΕΥΡΙΠΙΔΗΣ</t>
  </si>
  <si>
    <t>ΚΛΕΙΤΣΙΚΑΣ</t>
  </si>
  <si>
    <t>ΑΚ 560512</t>
  </si>
  <si>
    <t>ΜΙΧΑΛΕΑΣ</t>
  </si>
  <si>
    <t>ΑΜ502653</t>
  </si>
  <si>
    <t>ΜΗΛΩΣΗ</t>
  </si>
  <si>
    <t>ΑΜ868689</t>
  </si>
  <si>
    <t>ΓΕΩΡΓΙΟΣ ΡΑΦΑΗΛ</t>
  </si>
  <si>
    <t>ΤΣΟΜΠΑΝΙΔΗΣ</t>
  </si>
  <si>
    <t>AY2514019</t>
  </si>
  <si>
    <t>ΠΟΛΙΤΙΔΗΣ</t>
  </si>
  <si>
    <t>ΑΚ982957</t>
  </si>
  <si>
    <t>ΜΗΤΣΑΚΟΣ</t>
  </si>
  <si>
    <t>ΑΜ354430</t>
  </si>
  <si>
    <t>ΣΙΑΠΛΑΟΥΡΑ</t>
  </si>
  <si>
    <t>ΑΒ092651</t>
  </si>
  <si>
    <t>ΒΛΑΣΑΚΙΔΟΥ</t>
  </si>
  <si>
    <t>ΑΟ195949</t>
  </si>
  <si>
    <t>ΚΑΡΑΚΩΝΣΤΑΝΤΗΣ</t>
  </si>
  <si>
    <t>ΑΜ714003</t>
  </si>
  <si>
    <t>ΣΑΜΑΡΑ</t>
  </si>
  <si>
    <t>ΑΑ869279</t>
  </si>
  <si>
    <t>ΠΑΠΑΝΑΣΤΑΣΙΟΥ</t>
  </si>
  <si>
    <t>ΑΖ785766</t>
  </si>
  <si>
    <t>ΑΚ647613</t>
  </si>
  <si>
    <t>ΠΕΤΤΑΣ</t>
  </si>
  <si>
    <t>ΑΒ825365</t>
  </si>
  <si>
    <t>ΔΙΧΑΝΗ</t>
  </si>
  <si>
    <t>ΑΟ205863</t>
  </si>
  <si>
    <t>ΑΓΙΩΤΗΣ</t>
  </si>
  <si>
    <t>ΑΙ313814</t>
  </si>
  <si>
    <t>ΚΑΦΟΥΡΟΥ</t>
  </si>
  <si>
    <t>ΑΝ948671</t>
  </si>
  <si>
    <t xml:space="preserve"> ΑΚ280745</t>
  </si>
  <si>
    <t>ΧΑΣΙΩΤΗΣ</t>
  </si>
  <si>
    <t>ΑΙ868712</t>
  </si>
  <si>
    <t>ΒΙΟΛΕΤΑ</t>
  </si>
  <si>
    <t>ΚΟΥΤΟΥΠΗ</t>
  </si>
  <si>
    <t>ΑΜ381084</t>
  </si>
  <si>
    <t>ΠΟΛΥΞΕΝΗ</t>
  </si>
  <si>
    <t>ΤΟΛΙΟΥ</t>
  </si>
  <si>
    <t>ΑΜ833798</t>
  </si>
  <si>
    <t>ΚΑΡΑΚΩΝΣΤΑΝΤΗ</t>
  </si>
  <si>
    <t>ΑΜ146576</t>
  </si>
  <si>
    <t>ΜΠΟΥΡΑΣ</t>
  </si>
  <si>
    <t>ΑΗ978655</t>
  </si>
  <si>
    <t>ΑΜ706028</t>
  </si>
  <si>
    <t>ΠΑΠΑΣΑΒΒΑ</t>
  </si>
  <si>
    <t>ΑΜ347314</t>
  </si>
  <si>
    <t>ΕΛΠΙΝΙΚΗ</t>
  </si>
  <si>
    <t>ΑΗ200477</t>
  </si>
  <si>
    <t>ΧΑΛΙΑΜΠΑΚΗ</t>
  </si>
  <si>
    <t>ΑΗ951453</t>
  </si>
  <si>
    <t>ΣΤΑΜΑΤΙΝΑ</t>
  </si>
  <si>
    <t>ΕΛΙΑ</t>
  </si>
  <si>
    <t>ΑΒ170889</t>
  </si>
  <si>
    <t>ΣΤΡΙΜΤΣΟΣ</t>
  </si>
  <si>
    <t>ΑΚ914626</t>
  </si>
  <si>
    <t>ΒΑΡΟΥΤΑ</t>
  </si>
  <si>
    <t>Χ793283</t>
  </si>
  <si>
    <t>ΠΑΠΑΣΠΥΡΟΠΟΥΛΟΣ</t>
  </si>
  <si>
    <t>ΑΝ240962</t>
  </si>
  <si>
    <t>ΚΟΚΚΑΛΗΣ</t>
  </si>
  <si>
    <t>ΦΡΑΓΚΟΣ</t>
  </si>
  <si>
    <t>AM745218</t>
  </si>
  <si>
    <t>ΧΡΗΣΤΟΣ ΜΑΡΙΟΣ</t>
  </si>
  <si>
    <t>ΝΑΛΕΤΑΚΗΣ</t>
  </si>
  <si>
    <t>ΑΒ834897</t>
  </si>
  <si>
    <t>ΝΤΕΜΣΙΑΣ</t>
  </si>
  <si>
    <t>ΑΝ295109</t>
  </si>
  <si>
    <t>ΤΣΙΚΡΙΤΕΑΣ</t>
  </si>
  <si>
    <t>ΑΙ227820</t>
  </si>
  <si>
    <t>ΑΡΚΟΥΔΟΠΟΥΛΟΣ</t>
  </si>
  <si>
    <t>Α00208662</t>
  </si>
  <si>
    <t>ΤΡΑΙΑΝΟΥ</t>
  </si>
  <si>
    <t>ΑΡ612437</t>
  </si>
  <si>
    <t>ΛΙΑΣΟΥ</t>
  </si>
  <si>
    <t>ΑΟ726950</t>
  </si>
  <si>
    <t>ΑΝΕΣΤΗΣ</t>
  </si>
  <si>
    <t>ΚΑΣΤΟΣ</t>
  </si>
  <si>
    <t>ΑΝΤΩΝΙΝΑ</t>
  </si>
  <si>
    <t>ΤΖΟΥΓΚΑΡΑΚΗ</t>
  </si>
  <si>
    <t>ΑΑ493774</t>
  </si>
  <si>
    <t>ΑΡ663239</t>
  </si>
  <si>
    <t>ΖΑΧΑΡΗΣ</t>
  </si>
  <si>
    <t>ΑΜ790702</t>
  </si>
  <si>
    <t>ΞΑΝΘΗ</t>
  </si>
  <si>
    <t>ΜΠΟΥΡΑ</t>
  </si>
  <si>
    <t>ΑΗ763934</t>
  </si>
  <si>
    <t>ΜΕΝΥΧΤΑΣ</t>
  </si>
  <si>
    <t>ΑΕ229098</t>
  </si>
  <si>
    <t>ΑΒ855055</t>
  </si>
  <si>
    <t>ΛΕΩΝΙΔΑΣ</t>
  </si>
  <si>
    <t>ΚΟΥΤΙΝΑΣ</t>
  </si>
  <si>
    <t>K-8110</t>
  </si>
  <si>
    <t>ΦΟΥΡΛΙΓΚΑΣ</t>
  </si>
  <si>
    <t>ΑΕ728489</t>
  </si>
  <si>
    <t>ΑΝΤΏΝΙΟΣ</t>
  </si>
  <si>
    <t>ΤΣΑΓΓΑΡΑΣ</t>
  </si>
  <si>
    <t>ΑΑ319064</t>
  </si>
  <si>
    <t>ΑΛΑΤΖΑΣ</t>
  </si>
  <si>
    <t>ΑΗ432123</t>
  </si>
  <si>
    <t>ΠΑΠΑΝΙΚΟΛΑΟΥ</t>
  </si>
  <si>
    <t>ΑΗ703326</t>
  </si>
  <si>
    <t>ΕΥΑΓΓΕΛΟΣ ΡΑΦΑΗΛ</t>
  </si>
  <si>
    <t>ΔΑΝΤΣΗΣ</t>
  </si>
  <si>
    <t>ΑΚ876173</t>
  </si>
  <si>
    <t>Χ502919</t>
  </si>
  <si>
    <t>ΣΤΕΦΑΝΟΥ</t>
  </si>
  <si>
    <t>ΑΚ982939</t>
  </si>
  <si>
    <t>ΚΑΝΑΡΑΚΗΣ</t>
  </si>
  <si>
    <t>ΑΗ330561</t>
  </si>
  <si>
    <t>ΑΖ136043</t>
  </si>
  <si>
    <t>ΙΩΑΚΕΙΜ</t>
  </si>
  <si>
    <t>ΑΜ850307</t>
  </si>
  <si>
    <t>ΑΙ879353</t>
  </si>
  <si>
    <t>ΔΕΝΔΡΑΚΗ</t>
  </si>
  <si>
    <t>ΑΚ720292</t>
  </si>
  <si>
    <t>ΠΛΑΣΤΗΡΑΣ</t>
  </si>
  <si>
    <t>ΑΖ768963</t>
  </si>
  <si>
    <t>ΘΕΟΔΩΡΙΔΟΥ</t>
  </si>
  <si>
    <t>ΑΡ039853</t>
  </si>
  <si>
    <t>ΕΜΙΝΩΒ</t>
  </si>
  <si>
    <t>ΑΝ230145</t>
  </si>
  <si>
    <t>ΤΣΙΟΥΚΑΡΗ</t>
  </si>
  <si>
    <t>ΑΒ708433</t>
  </si>
  <si>
    <t>ΘΩΜΑΪΔΗΣ</t>
  </si>
  <si>
    <t>ΑΝ412191</t>
  </si>
  <si>
    <t>ΠΟΛΙΤΙΚΟΣ</t>
  </si>
  <si>
    <t>ΑΙ218853</t>
  </si>
  <si>
    <t>ΜΙΧΑΗΛΙΔΟΥ</t>
  </si>
  <si>
    <t>ΑΒ092824</t>
  </si>
  <si>
    <t>ΣΤΟΥΡΝΑΡΑΣ</t>
  </si>
  <si>
    <t>ΑΑ461403</t>
  </si>
  <si>
    <t>ΓΑΒΡΙΗΛ</t>
  </si>
  <si>
    <t>ΚΟΥΙΜΤΖΙΔΗΣ</t>
  </si>
  <si>
    <t>ΑΝ348632</t>
  </si>
  <si>
    <t>ΚΥΡΑΤΖΗΣ</t>
  </si>
  <si>
    <t>ΑΗ795425</t>
  </si>
  <si>
    <t>ΚΛΕΟΠΑΤΡΑ</t>
  </si>
  <si>
    <t>ΙΩΑΝΝΟΥ</t>
  </si>
  <si>
    <t>ΑΚ415725</t>
  </si>
  <si>
    <t>ΤΣΙΡΚΑΣ</t>
  </si>
  <si>
    <t>ΑΜ792530</t>
  </si>
  <si>
    <t>ΜΑΜΑΛΙΑΣ</t>
  </si>
  <si>
    <t>ΑΜ891160</t>
  </si>
  <si>
    <t>ΠΑΝΙΟΓΛΟΥ</t>
  </si>
  <si>
    <t>ΑΝ340870</t>
  </si>
  <si>
    <t>ΑΝΤΩΝΙΑΔΟΥ</t>
  </si>
  <si>
    <t>ΑΜ167728</t>
  </si>
  <si>
    <t>ΛΥΤΟΣ</t>
  </si>
  <si>
    <t>ΑΑ311302</t>
  </si>
  <si>
    <t>ΛΥΡΙΣΤΗ</t>
  </si>
  <si>
    <t>ΑΙ408375</t>
  </si>
  <si>
    <t>ΚΑΤΗΣ</t>
  </si>
  <si>
    <t>ΚΟΚΚΙΝΙΔΗΣ</t>
  </si>
  <si>
    <t>ΑΝ824309</t>
  </si>
  <si>
    <t>ΤΣΑΠΑΚΙΔΗΣ</t>
  </si>
  <si>
    <t>ΔΕΜΕΡΤΖΙΔΗΣ</t>
  </si>
  <si>
    <t>ΑΡ895684</t>
  </si>
  <si>
    <t>ΑΖ230580</t>
  </si>
  <si>
    <t>ΡΑΜΙΩΤΗΣ</t>
  </si>
  <si>
    <t>ΑΜ380517</t>
  </si>
  <si>
    <t>ΚΑΡΕΛΑ</t>
  </si>
  <si>
    <t>ΑΗ765151</t>
  </si>
  <si>
    <t>ΑΒ448667</t>
  </si>
  <si>
    <t>ΑΑ427674</t>
  </si>
  <si>
    <t>ΓΙΑΠΟΥΤΖΗΣ</t>
  </si>
  <si>
    <t>ΑΚ979122</t>
  </si>
  <si>
    <t>ΚΟΥΚΟΥΡΑΒΑ</t>
  </si>
  <si>
    <t>ΑΜ068185</t>
  </si>
  <si>
    <t>ΚΙΑΜΟΣ</t>
  </si>
  <si>
    <t>ΑΝ242779</t>
  </si>
  <si>
    <t>ΠΙΣΤΟΛΑ</t>
  </si>
  <si>
    <t>ΑΙ905199</t>
  </si>
  <si>
    <t>ΓΙΑΝΝΙΚΑΚΗ</t>
  </si>
  <si>
    <t>ΑΟ458136</t>
  </si>
  <si>
    <t>ΑΝΔΡΕΑΔΟΥ</t>
  </si>
  <si>
    <t>ΑΒ855066</t>
  </si>
  <si>
    <t>ΜΑΡΙΝΟΠΟΥΛΟΣ</t>
  </si>
  <si>
    <t>ΑΜ 043433</t>
  </si>
  <si>
    <t>ΛΥΜΠΕΡΟΥΔΗΣ</t>
  </si>
  <si>
    <t>Χ786535</t>
  </si>
  <si>
    <t>ΕΜΜΑΝΟΥΗΛ ΑΓΓΕΛΟΣ</t>
  </si>
  <si>
    <t>ΡΟΒΙΘΑΚΗΣ</t>
  </si>
  <si>
    <t>ΑΙ946101</t>
  </si>
  <si>
    <t>ΧΑΡΙΑΤΗΣ</t>
  </si>
  <si>
    <t>ΑΟ523071</t>
  </si>
  <si>
    <t>ΣΑΡΡΗΣ</t>
  </si>
  <si>
    <t>ΑΗ475849</t>
  </si>
  <si>
    <t>ΤΑΡΝΑΝΙΔΗΣ</t>
  </si>
  <si>
    <t>ΑΙ351303</t>
  </si>
  <si>
    <t>ΑΡ205010</t>
  </si>
  <si>
    <t>ΑΗ265616</t>
  </si>
  <si>
    <t>ΑΙΚΑΤΕΡΙΝΗ  ΕΛΛΗ</t>
  </si>
  <si>
    <t>ΡΟΤΣΙΟΥ</t>
  </si>
  <si>
    <t>ΑΗ524914</t>
  </si>
  <si>
    <t>ΑΡΑΜΠΑΤΖΗΣ</t>
  </si>
  <si>
    <t>ΑΑ477677</t>
  </si>
  <si>
    <t>ΣΙΜΕΛΙΔΟΥ</t>
  </si>
  <si>
    <t>ΑΚ427991</t>
  </si>
  <si>
    <t>ΖΕΛΙΛΟΒΑ</t>
  </si>
  <si>
    <t>ΑΟ050404</t>
  </si>
  <si>
    <t>ΜΑΛΑΜΗΣ</t>
  </si>
  <si>
    <t>ΑΡ587780</t>
  </si>
  <si>
    <t>ΜΕΣΙΑΚΑΡΗΣ</t>
  </si>
  <si>
    <t>ΑΙ297754</t>
  </si>
  <si>
    <t>ΓΕΣΘΗΜΑΝΗ</t>
  </si>
  <si>
    <t>ΑΡ 581567</t>
  </si>
  <si>
    <t xml:space="preserve">ΕΛΕΝΗ ΧΡΙΣΤΙΝΑ </t>
  </si>
  <si>
    <t>ΚΡΗΤΙΚΟΥ</t>
  </si>
  <si>
    <t>ΑΚ792978</t>
  </si>
  <si>
    <t>ΣΕΡΕΜΕΤΑΚΗΣ</t>
  </si>
  <si>
    <t>ΑΜ541740</t>
  </si>
  <si>
    <t>ΜΑΖΑΡΑΚΗ</t>
  </si>
  <si>
    <t>ΑΕ300413</t>
  </si>
  <si>
    <t>ΜΑΣΟΥΡΑΣ</t>
  </si>
  <si>
    <t>ΑΜ001053</t>
  </si>
  <si>
    <t>ΤΖΗΜΟΠΟΥΛΟΣ</t>
  </si>
  <si>
    <t>ΑΝ347047</t>
  </si>
  <si>
    <t>ΔΗΜΗΤΡΙΟΣ ΠΑΡΗΣ</t>
  </si>
  <si>
    <t>ΞΑΝΤΙΝΙΔΗΣ</t>
  </si>
  <si>
    <t>ΑΕ337575</t>
  </si>
  <si>
    <t>ΜΟΥΣΤΟΣ</t>
  </si>
  <si>
    <t>ΑΚ070627</t>
  </si>
  <si>
    <t>ΠΑΥΡΙΑΝΙΔΗΣ</t>
  </si>
  <si>
    <t>Π-6746</t>
  </si>
  <si>
    <t>ΑΖ712998</t>
  </si>
  <si>
    <t>ΦΩΤΙΑΔΗΣ</t>
  </si>
  <si>
    <t>ΕΙΡΗΝΗ ΠΟΛΥΞΕΝΗ</t>
  </si>
  <si>
    <t>ΚΕΛΙΔΟΥ</t>
  </si>
  <si>
    <t>ΑΡ274877</t>
  </si>
  <si>
    <t>AH796148</t>
  </si>
  <si>
    <t>ΣΑΜΑΡΑΣ</t>
  </si>
  <si>
    <t>ΑΑ337636</t>
  </si>
  <si>
    <t>ΜΑΡΚΟΠΟΥΛΟΣ</t>
  </si>
  <si>
    <t>ΑΟ666585</t>
  </si>
  <si>
    <t>ΜΑΓΟΥΛΑΣ</t>
  </si>
  <si>
    <t>ΑΗ540703</t>
  </si>
  <si>
    <t>ΜΑΣΤΡΟΝΙΚΟΛΑΣ</t>
  </si>
  <si>
    <t>ΑΡ268368</t>
  </si>
  <si>
    <t>ΤΣΙΑΤΣΟΣ</t>
  </si>
  <si>
    <t>ΑΙ816386</t>
  </si>
  <si>
    <t>ΤΣΙΩΤΑΚΗΣ</t>
  </si>
  <si>
    <t>AN967513</t>
  </si>
  <si>
    <t>ΚΟΚΚΟΛΙΟΣ</t>
  </si>
  <si>
    <t>ΑΙ920693</t>
  </si>
  <si>
    <t>ΓΟΥΛΑΣ</t>
  </si>
  <si>
    <t>ΑΖ744908</t>
  </si>
  <si>
    <t>ΧΑΡΟΥΛΑ</t>
  </si>
  <si>
    <t>ΠΑΝΑΡΙΤΗ</t>
  </si>
  <si>
    <t>ΑΜ780449</t>
  </si>
  <si>
    <t>ΣΤΟΥΠΗ</t>
  </si>
  <si>
    <t>ΑΝ811158</t>
  </si>
  <si>
    <t>ΠΟΤΣΕΠΗΣ</t>
  </si>
  <si>
    <t>ΕΣΚΙΟΓΛΟΥ</t>
  </si>
  <si>
    <t>ΑΜ435850</t>
  </si>
  <si>
    <t>ΠΕΤΡΟΠΟΥΛΟΣ</t>
  </si>
  <si>
    <t>ΑΗ976293</t>
  </si>
  <si>
    <t>ΚΑΡΑΚΑΝΑ</t>
  </si>
  <si>
    <t>ΑΚ417307</t>
  </si>
  <si>
    <t>ΜΟΥΡΜΟΥΡΑΣ</t>
  </si>
  <si>
    <t>ΑΜ372529</t>
  </si>
  <si>
    <t>ΚΟΥΤΕΝΤΑΚΗΣ</t>
  </si>
  <si>
    <t>ΑΟ789611</t>
  </si>
  <si>
    <t>ΑΑ074529</t>
  </si>
  <si>
    <t>ΜΙΧΑΗΛ ΕΥΘΥΜΙΟΣ</t>
  </si>
  <si>
    <t>ΠΑΠΑΚΩΝΣΤΑΝΤΙΝΟΥ</t>
  </si>
  <si>
    <t>AI 981813</t>
  </si>
  <si>
    <t>ΤΣΑΚΑΝΙΚΑΣ</t>
  </si>
  <si>
    <t>ΑΝ267408</t>
  </si>
  <si>
    <t>ΚΑΡΑΘΑΝΑΣΗΣ</t>
  </si>
  <si>
    <t>ΑΜ702667</t>
  </si>
  <si>
    <t>ΜΠΑΛΤΑΤΖΗ</t>
  </si>
  <si>
    <t>ΑΚ087247</t>
  </si>
  <si>
    <t>ΑΟ225628</t>
  </si>
  <si>
    <t>ΤΖΟΥΜΑΝΗΣ</t>
  </si>
  <si>
    <t>ΑΝ057304</t>
  </si>
  <si>
    <t>ΜΠΟΥΤΙΚΟΣ</t>
  </si>
  <si>
    <t>ΑΙ819000</t>
  </si>
  <si>
    <t>ΛΟΥΚΙΔΗΣ</t>
  </si>
  <si>
    <t>ΑΚ285990</t>
  </si>
  <si>
    <t>ΡΑΦΑΗΛ ΒΑΣΙΛΕΙΟΣ</t>
  </si>
  <si>
    <t>ΦΡΑΓΚΑΛΑΣ</t>
  </si>
  <si>
    <t>ΑΚΡΙΤΙΔΟΥ</t>
  </si>
  <si>
    <t>ΑΜ859205</t>
  </si>
  <si>
    <t>ΝΙΚΑ</t>
  </si>
  <si>
    <t>ΑΙ779598</t>
  </si>
  <si>
    <t>ΜΠΑΞΕΒΑΝΗ</t>
  </si>
  <si>
    <t>ΑΗ290681</t>
  </si>
  <si>
    <t>ΝΑΚΟΣ</t>
  </si>
  <si>
    <t>ΑΡ220420</t>
  </si>
  <si>
    <t>ΑΙ795148</t>
  </si>
  <si>
    <t>ΤΣΙΛΙΓΙΑΝΝΗ</t>
  </si>
  <si>
    <t>ΑΜ751195</t>
  </si>
  <si>
    <t>ΓΑΝΤΖΟΥΔΗ</t>
  </si>
  <si>
    <t>ΑΖ218076</t>
  </si>
  <si>
    <t>ΓΕΩΡΓΟΛΟΠΟΥΛΟΣ</t>
  </si>
  <si>
    <t>ΑΗ799538</t>
  </si>
  <si>
    <t>ΜΕΡΟΠΗ</t>
  </si>
  <si>
    <t>ΜΗΤΣΟΠΟΥΛΟΥ</t>
  </si>
  <si>
    <t>ΑΗ241045</t>
  </si>
  <si>
    <t>ΜΙΧΑΛΟΠΟΥΛΟΥ</t>
  </si>
  <si>
    <t>ΑΖ730270</t>
  </si>
  <si>
    <t>ΑΠΟΣΤΟΛΙΑ ΜΑΡΙΑ</t>
  </si>
  <si>
    <t>ΣΕΜΠΡΟΥ</t>
  </si>
  <si>
    <t>ΑΝ821516</t>
  </si>
  <si>
    <t>ΧΡΙΣΤΟΒΙΤΣΗ</t>
  </si>
  <si>
    <t>ΑΒ439405</t>
  </si>
  <si>
    <t>ΣΓΟΥΜΠΟΠΟΥΛΟΣ</t>
  </si>
  <si>
    <t>ΑΚ954748</t>
  </si>
  <si>
    <t>ΑΘΑΝΑΣΙΟΣ  ΣΤΥΛΙΑΝΟΣ</t>
  </si>
  <si>
    <t>ΖΑΒΟΣ</t>
  </si>
  <si>
    <t>ΑΟ 498049</t>
  </si>
  <si>
    <t>ΔΑΛΛΑΣ</t>
  </si>
  <si>
    <t>ΑΙ225796</t>
  </si>
  <si>
    <t>ΜΠΙΤΣΑΚΑΚΗΣ</t>
  </si>
  <si>
    <t>ΑΒ567304</t>
  </si>
  <si>
    <t>ΣΟΛΑΚΗΣ</t>
  </si>
  <si>
    <t>ΑΟ409327</t>
  </si>
  <si>
    <t>ΜΠΡΙΓΚΙΤΑ</t>
  </si>
  <si>
    <t>ΑΡ271450</t>
  </si>
  <si>
    <t>ΜΠΑΚΟΛΑΣ</t>
  </si>
  <si>
    <t>ΑΒ111456</t>
  </si>
  <si>
    <t>ΜΠΡΟΝΤΙΔΗΣ</t>
  </si>
  <si>
    <t>ΑΙ 909326</t>
  </si>
  <si>
    <t>ΑΟ027819</t>
  </si>
  <si>
    <t>ΠΕΤΡΟΓΙΑΝΝΑΚΗΣ</t>
  </si>
  <si>
    <t>ΑΝ923989</t>
  </si>
  <si>
    <t>ΑΚ355906</t>
  </si>
  <si>
    <t>ΠΟΥΡΔΑΛΑ</t>
  </si>
  <si>
    <t>ΑΗ284240</t>
  </si>
  <si>
    <t>ΔΑΣΚΑΛΟΠΟΥΛΟΥ</t>
  </si>
  <si>
    <t>ΑΟ720005</t>
  </si>
  <si>
    <t>ΔΑΔΟΥΡΗΣ</t>
  </si>
  <si>
    <t>ΑΖ370866</t>
  </si>
  <si>
    <t>ΤΣΙΑΟΥΣΗΣ</t>
  </si>
  <si>
    <t>ΑΕ916981</t>
  </si>
  <si>
    <t>ΖΩΓΡΑΦΑΚΗ</t>
  </si>
  <si>
    <t>ΑΜ318655</t>
  </si>
  <si>
    <t>ΖΥΓΟΡΗ</t>
  </si>
  <si>
    <t>ΑΕ990734</t>
  </si>
  <si>
    <t>ΚΩΣΤΟΠΟΥΛΟΣ</t>
  </si>
  <si>
    <t>ΑΟ461901</t>
  </si>
  <si>
    <t>ΣΑΡΑΙΛΗΣ</t>
  </si>
  <si>
    <t>ΑΙ600427</t>
  </si>
  <si>
    <t>ΧΑΤΖΟΠΟΥΛΟΥ</t>
  </si>
  <si>
    <t>ΑΒ110861</t>
  </si>
  <si>
    <t>ΠΕΡΙΚΛΗΣ</t>
  </si>
  <si>
    <t>ΜΠΙΘΕΛΗΣ</t>
  </si>
  <si>
    <t>ΑΝ311643</t>
  </si>
  <si>
    <t>Α0ΟΟΟΟ28</t>
  </si>
  <si>
    <t>ΑΗ250964</t>
  </si>
  <si>
    <t>ΚΑΒΑΝΟΖΗ</t>
  </si>
  <si>
    <t>ΑΡ586154</t>
  </si>
  <si>
    <t>ΑΜ611674</t>
  </si>
  <si>
    <t>ΜΠΡΑΧΟΣ</t>
  </si>
  <si>
    <t>ΑΙ291605</t>
  </si>
  <si>
    <t>ΦΟΥΣΤΕΛΛΗΣ</t>
  </si>
  <si>
    <t>ΑΝ434064</t>
  </si>
  <si>
    <t>ΑΜ853969</t>
  </si>
  <si>
    <t>ΑΥΓΕΡΙΝΟΣ</t>
  </si>
  <si>
    <t>ΑΙ815631</t>
  </si>
  <si>
    <t>ΧΑΤΖΗΘΕΟΔΩΡΟΥ</t>
  </si>
  <si>
    <t>ΑΙ280046</t>
  </si>
  <si>
    <t>ΠΑΠΑΘΑΝΑΣΟΠΟΥΛΟΣ</t>
  </si>
  <si>
    <t>ΑΒ781681</t>
  </si>
  <si>
    <t>ΑΝΤΩΝΙΑ ΔΑΝΑΗ</t>
  </si>
  <si>
    <t>ΑΜ822472</t>
  </si>
  <si>
    <t>ΧΑΡΑ</t>
  </si>
  <si>
    <t>ΚΟΤΣΙΝΗ</t>
  </si>
  <si>
    <t>ΑΜ143376</t>
  </si>
  <si>
    <t>ΚΕΡΑΣΙΔΟΥ</t>
  </si>
  <si>
    <t>ΑΒ924444</t>
  </si>
  <si>
    <t>ΜΠΙΑΖΑΚΗΣ</t>
  </si>
  <si>
    <t>ΑΗ89</t>
  </si>
  <si>
    <t>ΑΒ860912</t>
  </si>
  <si>
    <t>ΠΟΥΛΟΥΚΙΔΗΣ</t>
  </si>
  <si>
    <t>ΑΖ890091</t>
  </si>
  <si>
    <t>ΡΟΚΚΑΣ</t>
  </si>
  <si>
    <t>ΣΑΒΒΙΝΑ</t>
  </si>
  <si>
    <t>ΔΕΛΗΓΙΑΝΝΗ</t>
  </si>
  <si>
    <t>ΑΖ853952</t>
  </si>
  <si>
    <t>ΑΝΝΑ ΚΑΛΥΨΩ</t>
  </si>
  <si>
    <t>ΑΡ187637</t>
  </si>
  <si>
    <t>Α00003928</t>
  </si>
  <si>
    <t>ΑΠΟΣΤΟΛΙΑ</t>
  </si>
  <si>
    <t>ΑΡΓΥΡΟΠΟΥΛΟΥ</t>
  </si>
  <si>
    <t>ΑΜ377607</t>
  </si>
  <si>
    <t>ΠΡΑΞΙΑ</t>
  </si>
  <si>
    <t>ΠΡΑΤΑΡΑΚΗ</t>
  </si>
  <si>
    <t>ΑΡ134256</t>
  </si>
  <si>
    <t>ΜΑΓΓΟΣ</t>
  </si>
  <si>
    <t>ΑΜ859594</t>
  </si>
  <si>
    <t>ΝΙΚΟΛΑΟΣ-ΓΕΩΡΓΙΟΣ</t>
  </si>
  <si>
    <t>ΜΠΕΡΜΠΕΡΙΔΗΣ</t>
  </si>
  <si>
    <t>ΑΖ858730</t>
  </si>
  <si>
    <t>ΒΛΑΣΤΟΣ</t>
  </si>
  <si>
    <t>ΑΜ231055</t>
  </si>
  <si>
    <t>ΜΠΟΥΤΣΗΣ</t>
  </si>
  <si>
    <t>ΑΝ140637</t>
  </si>
  <si>
    <t>ΚΑΡΑΣΙΟΥΝΑΣ</t>
  </si>
  <si>
    <t>ΑΕ819823</t>
  </si>
  <si>
    <t>ΤΣΟΥΜΑΝΗΣ</t>
  </si>
  <si>
    <t>ΤΣΙΡΙΚΟΥΔΗ</t>
  </si>
  <si>
    <t>ΜΟΡΔΑΛΗΣ</t>
  </si>
  <si>
    <t>ΑΝ778647</t>
  </si>
  <si>
    <t>ΕΔΙΑΡΟΓΛΟΥ</t>
  </si>
  <si>
    <t>ΑΜ422731</t>
  </si>
  <si>
    <t>ΔΙΜΠΕΛΑΣ</t>
  </si>
  <si>
    <t>ΑΝ782841</t>
  </si>
  <si>
    <t>ΕΛΕΑΝΝΑ</t>
  </si>
  <si>
    <t>ΚΟΤΡΩΤΣΗ</t>
  </si>
  <si>
    <t>ΚΟΥΤΣΩΝΗΣ</t>
  </si>
  <si>
    <t>ΑΒ434266</t>
  </si>
  <si>
    <t>ΓΕΩΡΓΟΠΟΥΛΟΣ</t>
  </si>
  <si>
    <t>ΑΝ810406</t>
  </si>
  <si>
    <t>ΧΡΙΣΤΙΑΝΑ</t>
  </si>
  <si>
    <t>ΠΙΨΟΥ</t>
  </si>
  <si>
    <t>ΑΖ360735</t>
  </si>
  <si>
    <t>ΑΙ368972</t>
  </si>
  <si>
    <t>ΑΡ050498</t>
  </si>
  <si>
    <t>ΑΔΑΜΙΔΗΣ</t>
  </si>
  <si>
    <t>Α00132746</t>
  </si>
  <si>
    <t>ΗΛΕΚΤΡΑ</t>
  </si>
  <si>
    <t>ΜΑΓΙΑ</t>
  </si>
  <si>
    <t>ΑΕ426963</t>
  </si>
  <si>
    <t>ΦΑΡΜΑΚΙΩΤΗ</t>
  </si>
  <si>
    <t>ΑΙ838589</t>
  </si>
  <si>
    <t>ΚΕΧΑΙΔΑΚΗΣ</t>
  </si>
  <si>
    <t>ΑΜ893137</t>
  </si>
  <si>
    <t>ΛΙΑΠΗ</t>
  </si>
  <si>
    <t>ΑΙ763939</t>
  </si>
  <si>
    <t>ΜΠΟΥΧΕΛΟΥ</t>
  </si>
  <si>
    <t>ΑΡ884066</t>
  </si>
  <si>
    <t>ΑΙ814351</t>
  </si>
  <si>
    <t>ΠΑΛΙΟΥΡΑΣ</t>
  </si>
  <si>
    <t>ΠΕΤΡΑΚΟΣ</t>
  </si>
  <si>
    <t>ΣΟΥΜΟΥΛΙΔΟΥ</t>
  </si>
  <si>
    <t>ΑΟ886719</t>
  </si>
  <si>
    <t>ΑΙΝΤΑ</t>
  </si>
  <si>
    <t>ΧΙΟΥΣΕΝΙ</t>
  </si>
  <si>
    <t>ΑΜ930875</t>
  </si>
  <si>
    <t>ΑΖ654221</t>
  </si>
  <si>
    <t>ΓΚΟΥΛΙΑΡΑ</t>
  </si>
  <si>
    <t>ΑΚ402235</t>
  </si>
  <si>
    <t>ΑΗ305602</t>
  </si>
  <si>
    <t>ΣΠΥΡΙΔΟΠΟΥΛΟΥ</t>
  </si>
  <si>
    <t>ΑΡ024394</t>
  </si>
  <si>
    <t>ΛΑΣΚΑΡΗΣ</t>
  </si>
  <si>
    <t>ΑΗ083901</t>
  </si>
  <si>
    <t>ΚΑΛΑΝΤΑΡΙΔΟΥ</t>
  </si>
  <si>
    <t>ΑΚ443580</t>
  </si>
  <si>
    <t>ΑΡ711392</t>
  </si>
  <si>
    <t>ΠΑΤΕΡΕΛΗ</t>
  </si>
  <si>
    <t>ΑΙ910964</t>
  </si>
  <si>
    <t>ΒΑΣΙΛΑΚΗ</t>
  </si>
  <si>
    <t>ΑΙ922468</t>
  </si>
  <si>
    <t>ΑΝΤΩΝΟΠΟΥΛΟΣ</t>
  </si>
  <si>
    <t>ΑΗ477941</t>
  </si>
  <si>
    <t>ΜΠΟΡΜΠΙΔΗΣ</t>
  </si>
  <si>
    <t>ΑΗ 863766</t>
  </si>
  <si>
    <t>ΠΑΠΠΑΣ</t>
  </si>
  <si>
    <t>ΑΝ363950</t>
  </si>
  <si>
    <t>ΓΙΑΝΝΟΥΛΗ</t>
  </si>
  <si>
    <t>ΑΖ 223839</t>
  </si>
  <si>
    <t>ΧΙΟΝΙΑ</t>
  </si>
  <si>
    <t>ΔΟΥΔΟΥΛΗ</t>
  </si>
  <si>
    <t>ΑΒ434667</t>
  </si>
  <si>
    <t>ΠΑΤΑΤΟΥΚΟΥ</t>
  </si>
  <si>
    <t>ΑΙ861154</t>
  </si>
  <si>
    <t>ΑΡ615015</t>
  </si>
  <si>
    <t>ΑΜ153271</t>
  </si>
  <si>
    <t>ΑΝ895486</t>
  </si>
  <si>
    <t>ΝΙΚΗ</t>
  </si>
  <si>
    <t>ΠΑΠΑΠΟΣΤΟΛΟΥ</t>
  </si>
  <si>
    <t>ΑΡ088686</t>
  </si>
  <si>
    <t>ΤΣΑΡΟΥΧΑ</t>
  </si>
  <si>
    <t>ΑΗ273065</t>
  </si>
  <si>
    <t>ΑΚ673550</t>
  </si>
  <si>
    <t>ΑΤ468381</t>
  </si>
  <si>
    <t>ΑΛΗΟΓΛΟΥ</t>
  </si>
  <si>
    <t>ΑΙ909556</t>
  </si>
  <si>
    <t>ΤΕΓΓΕΛΙΔΗΣ</t>
  </si>
  <si>
    <t>ΑΚ886400</t>
  </si>
  <si>
    <t>ΑΜ348276</t>
  </si>
  <si>
    <t>ΣΑΡΑΝΤΗΣ</t>
  </si>
  <si>
    <t>ΑΝ372725</t>
  </si>
  <si>
    <t>ΧΗΡΟΥ</t>
  </si>
  <si>
    <t>ΑΑ483187</t>
  </si>
  <si>
    <t>ΠΑΠΑΔΑΚΗ</t>
  </si>
  <si>
    <t>ΑΜ960514</t>
  </si>
  <si>
    <t>ΜΠΑΣΙΟΣ</t>
  </si>
  <si>
    <t>ΜΠΛΙΑΓΚΑΣ</t>
  </si>
  <si>
    <t>ΑΚ428269</t>
  </si>
  <si>
    <t>ΑΝΤΩΝΟΠΟΥΛΟΥ</t>
  </si>
  <si>
    <t>ΑΒ107763</t>
  </si>
  <si>
    <t>ΑΖ705302</t>
  </si>
  <si>
    <t>ΤΖΕΡΕΜΕ</t>
  </si>
  <si>
    <t>ΑΗ771693</t>
  </si>
  <si>
    <t>ΑΜ909658</t>
  </si>
  <si>
    <t>ΒΛΑΣΗΣ</t>
  </si>
  <si>
    <t>ΑΕ088844</t>
  </si>
  <si>
    <t>ΠΑΝΤΕΛΗΣ ΧΡΥΣΟΒΑΛΑΝΤΗΣ</t>
  </si>
  <si>
    <t>ΡΗΣΤΑΣ</t>
  </si>
  <si>
    <t>ΑΡ616492</t>
  </si>
  <si>
    <t>ΟΔΥΣΣΕΑΣ</t>
  </si>
  <si>
    <t>ΚΑΡΚΑΛΗΣ</t>
  </si>
  <si>
    <t>ΑΡ232911</t>
  </si>
  <si>
    <t>ΚΑΠΑΝΔΡΙΤΗ</t>
  </si>
  <si>
    <t>ΑΜ076728</t>
  </si>
  <si>
    <t>ΛΙΟΛΙΟΣ</t>
  </si>
  <si>
    <t>ΑΙ570986</t>
  </si>
  <si>
    <t>ΔΗΜΟΥ</t>
  </si>
  <si>
    <t>ΑΗ787711</t>
  </si>
  <si>
    <t>ΘΕΟΠΟΥΛΑ</t>
  </si>
  <si>
    <t>ΜΑΝΔΑΛΙΔΟΥ</t>
  </si>
  <si>
    <t>ΑΚ449577</t>
  </si>
  <si>
    <t>ΑΕ238019</t>
  </si>
  <si>
    <t>ΚΟΙΔΗΣ</t>
  </si>
  <si>
    <t>ΑΝ827379</t>
  </si>
  <si>
    <t>ΜΠΑΣΔΕΚΗ</t>
  </si>
  <si>
    <t>ΑΙ871729</t>
  </si>
  <si>
    <t>ΠΑΡΝΑΒΕΛΑΣ</t>
  </si>
  <si>
    <t>ΑΚ307928</t>
  </si>
  <si>
    <t>ΚΑΛΛΙΡΡΟΗ</t>
  </si>
  <si>
    <t>ΒΑΣΙΛΟΠΟΥΛΟΥ</t>
  </si>
  <si>
    <t>ΑΜ157533</t>
  </si>
  <si>
    <t>ΑΗ344529</t>
  </si>
  <si>
    <t>ΑΚ417742</t>
  </si>
  <si>
    <t>ΝΟΜΙΚΟΣ</t>
  </si>
  <si>
    <t>ΑΟ640715</t>
  </si>
  <si>
    <t>ΒΑΛΕΝΤΙΝΑ</t>
  </si>
  <si>
    <t>ΚΟΥΤΛΑ</t>
  </si>
  <si>
    <t>ΑΚ389568</t>
  </si>
  <si>
    <t>ΠΑΝΤΕΛΟΓΛΟΥ</t>
  </si>
  <si>
    <t>ΑΑ499123</t>
  </si>
  <si>
    <t>ΜΗΝΑΣ</t>
  </si>
  <si>
    <t>ΑΚ171667</t>
  </si>
  <si>
    <t>ΚΕΛΕΤΖΗΣ</t>
  </si>
  <si>
    <t>ΑΗ890045</t>
  </si>
  <si>
    <t>ΒΑΣΙΛΙΚΗ ΕΛΕΝΗ</t>
  </si>
  <si>
    <t>ΝΑΘΑΝΑΗΛ</t>
  </si>
  <si>
    <t>AK957734</t>
  </si>
  <si>
    <t>ΑΒ645269</t>
  </si>
  <si>
    <t>ΓΟΥΛΑ</t>
  </si>
  <si>
    <t>ΑΖ871178</t>
  </si>
  <si>
    <t>ΠΕΤΡΑΚΗ</t>
  </si>
  <si>
    <t>ΑΝ468801</t>
  </si>
  <si>
    <t>ΣΙΔΕΡΗΣ</t>
  </si>
  <si>
    <t>ΑΝ441123</t>
  </si>
  <si>
    <t>ΑΗ701607</t>
  </si>
  <si>
    <t>ΠΑΠΑΓΙΑΝΝΑΚΗ</t>
  </si>
  <si>
    <t>ΑΙ910283</t>
  </si>
  <si>
    <t>ΠΡΩΤΟΠΑΠΑ</t>
  </si>
  <si>
    <t>ΑΜ939008</t>
  </si>
  <si>
    <t>ΚΑΡΑΝΔΙΝΟΣ</t>
  </si>
  <si>
    <t>ΑΡ952436</t>
  </si>
  <si>
    <t>ΛΙΑΜΕΤΗΣ</t>
  </si>
  <si>
    <t>ΑΕ728076</t>
  </si>
  <si>
    <t>ΜΑΡΤΖΑΚΛΗ</t>
  </si>
  <si>
    <t>ΑΙ753878</t>
  </si>
  <si>
    <t>ΕΛΕΝΗ ΘΕΟΔΩΡΑ</t>
  </si>
  <si>
    <t>ΚΟΥΤΣΙΔΟΥ</t>
  </si>
  <si>
    <t>ΑΑ395135</t>
  </si>
  <si>
    <t>ΜΑΓΚΑΦΟΥΛΑ ΜΑΡΙΑ</t>
  </si>
  <si>
    <t>ΚΑΠΕΤΑΔΗΜΗΤΡΗ</t>
  </si>
  <si>
    <t>ΑΜ942015</t>
  </si>
  <si>
    <t>ΚΑΡΑΘΑΝΑΣΗ</t>
  </si>
  <si>
    <t>Α00359467</t>
  </si>
  <si>
    <t>ΣΠΑΝΟΣ</t>
  </si>
  <si>
    <t>ΑΡ 918860</t>
  </si>
  <si>
    <t>ΖΑΧΑΡΗΣ ΑΓΓΕΛΟΠΟΥΛΟΣ</t>
  </si>
  <si>
    <t>ΑΒ205871</t>
  </si>
  <si>
    <t>ΜΕΡΑΣ</t>
  </si>
  <si>
    <t>ΑΝ858187</t>
  </si>
  <si>
    <t>ΑΡ370992</t>
  </si>
  <si>
    <t>ΣΠΥΡΙΔΟΠΟΥΛΟΣ</t>
  </si>
  <si>
    <t>ΑΡ021466</t>
  </si>
  <si>
    <t>ΡΙΓΓΟΥ</t>
  </si>
  <si>
    <t>ΑΑ243378</t>
  </si>
  <si>
    <t>ΤΡΑΚΗΣ</t>
  </si>
  <si>
    <t>ΑΒ496095</t>
  </si>
  <si>
    <t>ΚΕΚΟΣ</t>
  </si>
  <si>
    <t>ΑΜ321721</t>
  </si>
  <si>
    <t>ΤΣΙΤΣΙΝΤΑΣ</t>
  </si>
  <si>
    <t>ΑΚ982728</t>
  </si>
  <si>
    <t>ΑΛΕΞΟΠΟΥΛΟΣ</t>
  </si>
  <si>
    <t>ΑΗ355658</t>
  </si>
  <si>
    <t>ΚΟΥΚΟΥΜΑΚΗΣ</t>
  </si>
  <si>
    <t>ΑΝ 460501</t>
  </si>
  <si>
    <t>ΖΑΒΙΤΣΑΝΟΥ</t>
  </si>
  <si>
    <t>Α00335939</t>
  </si>
  <si>
    <t>ΓΚΟΥΤΖΑΣ</t>
  </si>
  <si>
    <t>ΑΜ875917</t>
  </si>
  <si>
    <t>ΖΑΓΓΟΥ</t>
  </si>
  <si>
    <t>ΑΕ996357</t>
  </si>
  <si>
    <t>ΚΩΤΤΑΣ</t>
  </si>
  <si>
    <t>ΜΟΥΣΙΟΣ</t>
  </si>
  <si>
    <t>ΑΙ353118</t>
  </si>
  <si>
    <t>ΓΚΙΖΑΣ</t>
  </si>
  <si>
    <t>A.M.771437</t>
  </si>
  <si>
    <t>ΑΚ161391</t>
  </si>
  <si>
    <t>ΤΑΤΣΗ</t>
  </si>
  <si>
    <t>ΑΝ872850</t>
  </si>
  <si>
    <t>ΑΙ992658</t>
  </si>
  <si>
    <t>ΑΖ975174</t>
  </si>
  <si>
    <t>ΖΕΡΒΑ</t>
  </si>
  <si>
    <t>ΑΗ794819</t>
  </si>
  <si>
    <t>ΔΙΑΜΑΝΤΙΔΟΥ</t>
  </si>
  <si>
    <t>ΑΕ393140</t>
  </si>
  <si>
    <t>ΔΗΜΑΚΟΓΙΑΝΝΗΣ</t>
  </si>
  <si>
    <t>ΑΜ083554</t>
  </si>
  <si>
    <t>ΚΟΚΟΡΟΤΣΙΚΟΣ</t>
  </si>
  <si>
    <t>ΑΙ135149</t>
  </si>
  <si>
    <t>ΠΕΤΜΕΖΗΣ</t>
  </si>
  <si>
    <t>ΑΡ712975</t>
  </si>
  <si>
    <t>ΜΠΑΚΛΩΡΗΣ</t>
  </si>
  <si>
    <t>ΑΜ774228</t>
  </si>
  <si>
    <t>ΣΚΟΥΡΑ</t>
  </si>
  <si>
    <t>ΑΙ309834</t>
  </si>
  <si>
    <t>ΒΟΛΑΝΗΣ</t>
  </si>
  <si>
    <t>ΣΙΩΗΣ</t>
  </si>
  <si>
    <t>ΑΡ225212</t>
  </si>
  <si>
    <t>ΤΣΟΥΛΙΔΗΣ</t>
  </si>
  <si>
    <t>ΑΝ400902</t>
  </si>
  <si>
    <t>ΣΑΚΑΛΗ</t>
  </si>
  <si>
    <t>ΑΗ330404</t>
  </si>
  <si>
    <t>ΓΚΕΛΑΟΥΖΟΣ</t>
  </si>
  <si>
    <t>ΑΒ997767</t>
  </si>
  <si>
    <t>Α00211411</t>
  </si>
  <si>
    <t>ΘΕΟΧΑΡΙΔΗΣ</t>
  </si>
  <si>
    <t>Θ-4314</t>
  </si>
  <si>
    <t xml:space="preserve">ΣΤΑΜΑΤΙΑ ΒΙΡΓΙΝΙΑ </t>
  </si>
  <si>
    <t xml:space="preserve">ΠΑΠΑΔΟΠΟΥΛΟΥ </t>
  </si>
  <si>
    <t>ΑΤ3891479</t>
  </si>
  <si>
    <t>ΡΟΥΤΣΗΣ</t>
  </si>
  <si>
    <t>ΑΝ275490</t>
  </si>
  <si>
    <t>ΒΑΡΝΑ</t>
  </si>
  <si>
    <t>ΑΝ363192</t>
  </si>
  <si>
    <t>ΜΑΡΙΑ ΕΛΕΝΗ</t>
  </si>
  <si>
    <t>ΠΑΣΧΑΛΗ</t>
  </si>
  <si>
    <t>ΑΜ046338</t>
  </si>
  <si>
    <t>ΓΑΒΡΙΗΛΙΔΟΥ</t>
  </si>
  <si>
    <t>ΑΙ330470</t>
  </si>
  <si>
    <t>ΠΟΖΙΑΔΗΣ</t>
  </si>
  <si>
    <t>ΑΗ825148</t>
  </si>
  <si>
    <t>ΛΙΑΣΚΟΣ</t>
  </si>
  <si>
    <t>ΑΚ332557</t>
  </si>
  <si>
    <t>ΠΑΠΑΚΡΙΒΟΣ</t>
  </si>
  <si>
    <t>ΑΡ911250</t>
  </si>
  <si>
    <t>ΤΑΤΙΑΝΑ</t>
  </si>
  <si>
    <t>ΝΙΖΑΜΙΔΟΥ</t>
  </si>
  <si>
    <t>ΑΖ873577</t>
  </si>
  <si>
    <t>ΝΙΚΟΛΑΚΟΠΟΥΛΟΥ</t>
  </si>
  <si>
    <t>ΑΡ320949</t>
  </si>
  <si>
    <t>ΠΑΝΑΓΙΩΤΑΡΑΣ</t>
  </si>
  <si>
    <t>Π-6724</t>
  </si>
  <si>
    <t>ΜΑΡΙΟΣ ΚΩΝΣΤΑΝΤΙΝΟΣ</t>
  </si>
  <si>
    <t>ΚΟΜΠΟΥΡΑΣ</t>
  </si>
  <si>
    <t>ΑΝ863295</t>
  </si>
  <si>
    <t>ΑΝ344754</t>
  </si>
  <si>
    <t>ΔΡΥΜΑΛΙΤΟΥ</t>
  </si>
  <si>
    <t>ΑΖ441978</t>
  </si>
  <si>
    <t>ΜΕΛΠΟΜΕΝΗ ΣΤΑΥΡΟΥΛΑ</t>
  </si>
  <si>
    <t>ΔΟΥΒΑΛΕΤΑ</t>
  </si>
  <si>
    <t>ΑΖ927938</t>
  </si>
  <si>
    <t>ΑΗ304949</t>
  </si>
  <si>
    <t>ΔΙΟΝΥΣΙΑ</t>
  </si>
  <si>
    <t>ΧΡΙΣΤΟΠΟΥΛΟΥ</t>
  </si>
  <si>
    <t>ΑΡ878169</t>
  </si>
  <si>
    <t>ΒΑΣΙΛΟΠΟΥΛΟΣ</t>
  </si>
  <si>
    <t>ΑΙ087594</t>
  </si>
  <si>
    <t>ΚΟΥΚΟΥΛΑ</t>
  </si>
  <si>
    <t>ΑΑ441553</t>
  </si>
  <si>
    <t>ΦΛΩΡΟΠΟΥΛΟΣ</t>
  </si>
  <si>
    <t>ΑΝ805133</t>
  </si>
  <si>
    <t>ΜΠΟΥΚΑ</t>
  </si>
  <si>
    <t>ΑΝ838319</t>
  </si>
  <si>
    <t>ΣΙΜΟΥ</t>
  </si>
  <si>
    <t>ΑΙ838226</t>
  </si>
  <si>
    <t>ΧΑΜΗΛΑΚΗΣ</t>
  </si>
  <si>
    <t>ΑΝ 470956</t>
  </si>
  <si>
    <t>ΒΑΣΑΛΑΚΗΣ</t>
  </si>
  <si>
    <t>ΑΟ273176</t>
  </si>
  <si>
    <t>ΘΕΟΔΩΡΑ ΚΑΛΛΙΟΠΗ</t>
  </si>
  <si>
    <t>ΑΙ265182</t>
  </si>
  <si>
    <t>ΚΑΛΑΜΑΡΑ</t>
  </si>
  <si>
    <t>ΑΒ117445</t>
  </si>
  <si>
    <t>ΤΣΙΚΡΙΤΣΗΣ</t>
  </si>
  <si>
    <t>ΑΝ323379</t>
  </si>
  <si>
    <t>ΣΕΛΕΜΙΔΟΥ</t>
  </si>
  <si>
    <t>AM404881</t>
  </si>
  <si>
    <t>ΜΕΛΙΝΑ ΜΑΡΙΑ</t>
  </si>
  <si>
    <t>ΝΤΑΛΑ</t>
  </si>
  <si>
    <t>ΑΙ490275</t>
  </si>
  <si>
    <t>ΟΥΖΟΥΝΟΓΛΟΥ</t>
  </si>
  <si>
    <t>ΑΟ345919</t>
  </si>
  <si>
    <t>ΑΒ559563</t>
  </si>
  <si>
    <t>ΚΑΤΟΣ</t>
  </si>
  <si>
    <t>Α00056299</t>
  </si>
  <si>
    <t>ΚΑΛΤΣΟΥΝΗΣ</t>
  </si>
  <si>
    <t>ΑΗ760166</t>
  </si>
  <si>
    <t>ΑΗ231587</t>
  </si>
  <si>
    <t>ΓΚΟΛΦΩ</t>
  </si>
  <si>
    <t>ΑΝ800209</t>
  </si>
  <si>
    <t>ΔΩΡΟΘΕΑ</t>
  </si>
  <si>
    <t>ΜΑΥΡΟΛΙΑ</t>
  </si>
  <si>
    <t>ΑΖ937188</t>
  </si>
  <si>
    <t>ΑΦΑΛΩΝΙΑΤΗΣ</t>
  </si>
  <si>
    <t>ΑΟ315765</t>
  </si>
  <si>
    <t>ΚΑΡΑΒΟΤΑ</t>
  </si>
  <si>
    <t>ΑΟ305980</t>
  </si>
  <si>
    <t>ΙΩΑΝΝΗΣ ΤΑΞΙΑΡΧΗΣ</t>
  </si>
  <si>
    <t>ΠΑΠΑΣΤΑΘΗΣ</t>
  </si>
  <si>
    <t>Π-7166</t>
  </si>
  <si>
    <t>ΜΠΕΝΕΚΗ</t>
  </si>
  <si>
    <t>ΑΖ782323</t>
  </si>
  <si>
    <t>ΑΒ137697</t>
  </si>
  <si>
    <t>ΚΑΛΟΓΙΑΝΝΗ</t>
  </si>
  <si>
    <t>ΑΙ755221</t>
  </si>
  <si>
    <t>ΧΑΤΖΗΑΘΑΝΑΣΙΟΥ</t>
  </si>
  <si>
    <t>ΑΜ858712</t>
  </si>
  <si>
    <t>ΜΠΑΚΑΛΗΣ</t>
  </si>
  <si>
    <t>ΑΡ357500</t>
  </si>
  <si>
    <t>ΔΕΔΟΥΛΗΣ</t>
  </si>
  <si>
    <t>ΝΙΚΟΛΟΥΔΑΚΗΣ</t>
  </si>
  <si>
    <t>ΑΙ942759</t>
  </si>
  <si>
    <t>ΞΑΝΘΑ</t>
  </si>
  <si>
    <t>ΑΚ416270</t>
  </si>
  <si>
    <t>ΒΑΣΙΛΕΙΟΥ</t>
  </si>
  <si>
    <t>ΑΙ805309</t>
  </si>
  <si>
    <t>ΣΙΜΗΤΑ</t>
  </si>
  <si>
    <t>ΑΜ428354</t>
  </si>
  <si>
    <t>ΚΩΣΤΟΥΡΟΥ</t>
  </si>
  <si>
    <t>ΑΗ200575</t>
  </si>
  <si>
    <t>ΓΚΟΥΝΤΕΤΣΙΟΣ</t>
  </si>
  <si>
    <t>ΑΒ683975</t>
  </si>
  <si>
    <t>ΔΗΜΗΤΡ ΠΡΟΔΡΟ ΜΑΚΕΔΟ</t>
  </si>
  <si>
    <t>ΚΩΤΟΥΛΑΣ</t>
  </si>
  <si>
    <t>ΑΖ319326</t>
  </si>
  <si>
    <t>ΑΗ355066</t>
  </si>
  <si>
    <t>ΑΝΤΖΟΥΛΑ</t>
  </si>
  <si>
    <t>ΑΕ707961</t>
  </si>
  <si>
    <t>ΕΛΙΣΣΑΒΕΤ</t>
  </si>
  <si>
    <t>ΚΛΩΝΑΡΑ</t>
  </si>
  <si>
    <t>ΑΙ872430</t>
  </si>
  <si>
    <t>ΟΔΥΣΕΑΚΗ</t>
  </si>
  <si>
    <t>ΑΜ457869</t>
  </si>
  <si>
    <t>ΤΣΙΟΝΑΡΑΣ</t>
  </si>
  <si>
    <t>ΑΚ971829</t>
  </si>
  <si>
    <t>ΚΑΡΔΑΣΗΣ</t>
  </si>
  <si>
    <t>ΑΒ829515</t>
  </si>
  <si>
    <t>ΙΩΑΝΝΗΣ ΠΑΝΑΓΙΩΤΗΣ</t>
  </si>
  <si>
    <t>ΣΟΦΟΣ</t>
  </si>
  <si>
    <t>ΑΖ264679</t>
  </si>
  <si>
    <t>ΑΝΤΡΕΑΣ</t>
  </si>
  <si>
    <t>ΠΟΘΟΥΛΑΚΗΣ</t>
  </si>
  <si>
    <t>ΑΑ465272</t>
  </si>
  <si>
    <t>ΤΣΑΜΑΝΔΟΥΡΑΣ</t>
  </si>
  <si>
    <t>ΑΝ975598</t>
  </si>
  <si>
    <t>ΣΚΟΡΔΑΣ</t>
  </si>
  <si>
    <t>ΑΜ398807</t>
  </si>
  <si>
    <t>ΧΡΗΣΤΟΣ ΓΕΩΡΓΙΟΣ</t>
  </si>
  <si>
    <t>ΚΑΤΣΑΡΑΣ</t>
  </si>
  <si>
    <t>ΑΝ318098</t>
  </si>
  <si>
    <t>ΑΓΓΕΛΑΚΟΥΔΗ</t>
  </si>
  <si>
    <t>ΑΑ437885</t>
  </si>
  <si>
    <t>ΚΑΡΑΓΙΩΡΓΟΥ</t>
  </si>
  <si>
    <t>ΑΖ588715</t>
  </si>
  <si>
    <t>ΜΑΥΡΟΜΑΤΗΣ</t>
  </si>
  <si>
    <t>ΑΝ533504</t>
  </si>
  <si>
    <t>ΘΕΟΔΩΡΟΠΟΥΛΟΥ</t>
  </si>
  <si>
    <t>ΑΝ582147</t>
  </si>
  <si>
    <t>ΚΑΦΕΤΖΗ</t>
  </si>
  <si>
    <t>ΑΚ428499</t>
  </si>
  <si>
    <t>ΤΑΝΤΟΣ</t>
  </si>
  <si>
    <t>ΑΝ340457</t>
  </si>
  <si>
    <t>ΛΑΛΙΔΗΣ</t>
  </si>
  <si>
    <t>ΑΚ319154</t>
  </si>
  <si>
    <t>ΑΖ767201</t>
  </si>
  <si>
    <t>ΧΑΡΙΣΗ</t>
  </si>
  <si>
    <t>ΑΗ287053</t>
  </si>
  <si>
    <t>ΛΑΜΠΡΙΝΟΣ</t>
  </si>
  <si>
    <t>ΑΚ987237</t>
  </si>
  <si>
    <t>ΜΑΡΔΕΡΟΖΗ</t>
  </si>
  <si>
    <t>ΑΕ_</t>
  </si>
  <si>
    <t>ΑΝ388472</t>
  </si>
  <si>
    <t>ΚΑΡΠΙΤΣΑΡΗ</t>
  </si>
  <si>
    <t>ΑΖ896636</t>
  </si>
  <si>
    <t>ΓΚΡΙΤΖΑΣ</t>
  </si>
  <si>
    <t>ΑΙ485592</t>
  </si>
  <si>
    <t>ΔΑΓΡΕ</t>
  </si>
  <si>
    <t>ΑΒ798085</t>
  </si>
  <si>
    <t>ΧΑΙΔΕΥΤΟΣ ΑΘΑΝΑΣΙΟΣ</t>
  </si>
  <si>
    <t>ΜΙΧΑΛΑΚΗΣ</t>
  </si>
  <si>
    <t>ΠΑΧΟΥΛΑΣ</t>
  </si>
  <si>
    <t>ΑΝ294945</t>
  </si>
  <si>
    <t>ΡΑΦΑΗΛ ΠΑΝΑΓΙΩΤΗΣ</t>
  </si>
  <si>
    <t>ΒΑΓΙΑΣ</t>
  </si>
  <si>
    <t>ΑΚ350909</t>
  </si>
  <si>
    <t>ΓΑΚΗΣ</t>
  </si>
  <si>
    <t>ΑΜ399955</t>
  </si>
  <si>
    <t>ΤΡΙΑΝΤΑΦΥΛΛΙΑ</t>
  </si>
  <si>
    <t>ΚΥΡΙΑΖΟΠΟΥΛΟΥ</t>
  </si>
  <si>
    <t>ΑΒ102438</t>
  </si>
  <si>
    <t>ΚΑΡΑΝΑΣΙΟΥ</t>
  </si>
  <si>
    <t>ΑΗ220427</t>
  </si>
  <si>
    <t xml:space="preserve">ΧΡΗΣΤΟΣ </t>
  </si>
  <si>
    <t>ΓΚΙΝΗΣ</t>
  </si>
  <si>
    <t>Γ5408</t>
  </si>
  <si>
    <t>ΖΗΣΗ</t>
  </si>
  <si>
    <t>ΑΗ262022</t>
  </si>
  <si>
    <t>ΜΠΙΝΤΣΗ</t>
  </si>
  <si>
    <t>ΑΙ330816</t>
  </si>
  <si>
    <t>ΝΙΚΗΤΑΣ</t>
  </si>
  <si>
    <t>ΑΝ831196</t>
  </si>
  <si>
    <t>ΙΩΑΝΝΗΣ ΙΣΑΑΚ</t>
  </si>
  <si>
    <t>ΒΑΡΣΑΜΗΣ</t>
  </si>
  <si>
    <t>ΑΚ428660</t>
  </si>
  <si>
    <t>ΣΒΥΝΟΥ</t>
  </si>
  <si>
    <t>ΑΒ638570</t>
  </si>
  <si>
    <t>ΚΟΥΤΣΟΥΡΟΥΜΠΑΣ</t>
  </si>
  <si>
    <t>ΑΟ933209</t>
  </si>
  <si>
    <t>Ευαγγελία</t>
  </si>
  <si>
    <t>Βασιλείου</t>
  </si>
  <si>
    <t>ΑΜ597957</t>
  </si>
  <si>
    <t>ΑΙ868916</t>
  </si>
  <si>
    <t>ΕΙΡΗΝΑΙΟΣ</t>
  </si>
  <si>
    <t>ΚΑΤΣΑΦΑΔΟΣ</t>
  </si>
  <si>
    <t>ΑΗ583293</t>
  </si>
  <si>
    <t>ΧΡΥΣΟΣΤΟΜΙΔΗΣ</t>
  </si>
  <si>
    <t>ΑΙ375167</t>
  </si>
  <si>
    <t>ΚΟΚΤΣΙΔΟΥ</t>
  </si>
  <si>
    <t>ΑΟ777157</t>
  </si>
  <si>
    <t>ΑΙ327628</t>
  </si>
  <si>
    <t>ΤΣΑΜΑΣΙΩΤΗΣ</t>
  </si>
  <si>
    <t>ΑΖ318977</t>
  </si>
  <si>
    <t>ΛΙΟΛΙΟΥ</t>
  </si>
  <si>
    <t>ΑΜ052106</t>
  </si>
  <si>
    <t>ΑΟ297322</t>
  </si>
  <si>
    <t>ΑΜ689598</t>
  </si>
  <si>
    <t>ΠΑΝΤΑΖΗΣ</t>
  </si>
  <si>
    <t>ΑΙ820130</t>
  </si>
  <si>
    <t>ΜΠΑΓΙΑΤΗΣ</t>
  </si>
  <si>
    <t>ΑΡ195712</t>
  </si>
  <si>
    <t>ΑΒ999538</t>
  </si>
  <si>
    <t>ΑΛΕΞΟΠΟΥΛΟΥ</t>
  </si>
  <si>
    <t>ΑΗ870479</t>
  </si>
  <si>
    <t>ΚΟΡΑΛΙΑ</t>
  </si>
  <si>
    <t>ΓΑΒΡΙΕΛΑΤΟΥ</t>
  </si>
  <si>
    <t>ΑΗ259265</t>
  </si>
  <si>
    <t>ΣΤΥΛΙΑΝΗ ΕΛΠΙΔΑ</t>
  </si>
  <si>
    <t>ΚΑΜΑΚΑΡΗ</t>
  </si>
  <si>
    <t>ΑΙ238884</t>
  </si>
  <si>
    <t>ΓΚΟΥΤΙΔΗΣ</t>
  </si>
  <si>
    <t>ΑΕ401947</t>
  </si>
  <si>
    <t>ΑΟ149306</t>
  </si>
  <si>
    <t>ΡΑΦΑΗΛΑ ΚΑΜΕΛΙΑ</t>
  </si>
  <si>
    <t>ΕΞΑΡΧΟΥ</t>
  </si>
  <si>
    <t>ΑΜ 390557</t>
  </si>
  <si>
    <t>ΛΕΤΤΑ</t>
  </si>
  <si>
    <t>AZ794131</t>
  </si>
  <si>
    <t>ΠΕΡΔΙΚΑΡΗΣ</t>
  </si>
  <si>
    <t>ΑΙ225939</t>
  </si>
  <si>
    <t>ΧΙΖΑΡΗΣ</t>
  </si>
  <si>
    <t>ΑΝ769493</t>
  </si>
  <si>
    <t>ΦΩΤΕΙΝΗ  ΜΑΡΙΑ</t>
  </si>
  <si>
    <t>ΣΤΕΡΓΙΟΥΛΑ</t>
  </si>
  <si>
    <t>ΑΝ332704</t>
  </si>
  <si>
    <t>ΚΑΡΠΕΛΗ</t>
  </si>
  <si>
    <t>ΑΗ432294</t>
  </si>
  <si>
    <t>ΚΩΣΤΟΡΡΙΖΟΣ</t>
  </si>
  <si>
    <t>ΜΕΛΙΣΣΟΥΡΓΑΚΗ</t>
  </si>
  <si>
    <t>ΑΗ466418</t>
  </si>
  <si>
    <t>ΑΜ574752</t>
  </si>
  <si>
    <t>ΠΕΤΣΙΟΥ</t>
  </si>
  <si>
    <t>ΚΑΛΟΓΕΡΟΥ</t>
  </si>
  <si>
    <t>ΑΚ759797</t>
  </si>
  <si>
    <t>ΑΜ858769</t>
  </si>
  <si>
    <t>ΑΖ321504</t>
  </si>
  <si>
    <t>ΑΛΗΠΑΣΑΛΗΣ</t>
  </si>
  <si>
    <t>AH897979</t>
  </si>
  <si>
    <t>ΣΤΡΑΤΙΔΑΚΗΣ</t>
  </si>
  <si>
    <t>ΑΟ802885</t>
  </si>
  <si>
    <t>ΒΟΣΔΟΥ</t>
  </si>
  <si>
    <t>Α00178814</t>
  </si>
  <si>
    <t>ΒΑΖΛΑΔΕΛΗ</t>
  </si>
  <si>
    <t>ΑΙ910510</t>
  </si>
  <si>
    <t>ΗΡΑΚΛΗΣ</t>
  </si>
  <si>
    <t>ΓΚΙΟΥΡΣΑΝΗΣ</t>
  </si>
  <si>
    <t>ΜΠΟΥΝΤΑΣ</t>
  </si>
  <si>
    <t>ΑΡ334114</t>
  </si>
  <si>
    <t>ΚΑΝΕΛΛΟΣ</t>
  </si>
  <si>
    <t>ΑΜ442760</t>
  </si>
  <si>
    <t>ΚΩΝΣΤΑΝΤΑΡΑΣ</t>
  </si>
  <si>
    <t>ΑΝ917352</t>
  </si>
  <si>
    <t>ΠΕΡΙΣΤΕΡΑ ΒΑΛΕΡΙΑ</t>
  </si>
  <si>
    <t>ΑΚ430469</t>
  </si>
  <si>
    <t>ΝΟΒΑ</t>
  </si>
  <si>
    <t>ΑΖ801478</t>
  </si>
  <si>
    <t>ΑΝΑΣΤΑΣΙΑ ΑΣΗΜΙΝΑ</t>
  </si>
  <si>
    <t>ΛΙΝΑΡΔΟΥ</t>
  </si>
  <si>
    <t>ΑΡ311362</t>
  </si>
  <si>
    <t>ΑΟ295763</t>
  </si>
  <si>
    <t>ΑΝ321223</t>
  </si>
  <si>
    <t>ΑΓΓΕΛΑΚΗ</t>
  </si>
  <si>
    <t>ΑΕ725763</t>
  </si>
  <si>
    <t>ΑΤ418051</t>
  </si>
  <si>
    <t>ΒΟΥΝΟΤΡΥΠΙΔΗΣ</t>
  </si>
  <si>
    <t>ΑΜ672816</t>
  </si>
  <si>
    <t>ΡΕΒΕΚΚΑ</t>
  </si>
  <si>
    <t>ΧΑΝΤΖΑΡΑ</t>
  </si>
  <si>
    <t>ΑΜ365573</t>
  </si>
  <si>
    <t>ΜΑΜΑΚΗΣ</t>
  </si>
  <si>
    <t>ΝΤΙΝΟΥΔΗΣ</t>
  </si>
  <si>
    <t>ΑΜ436623</t>
  </si>
  <si>
    <t>ΣΤΕΦΑΝΙΑ ΡΟΥΜΠΙΝΗ</t>
  </si>
  <si>
    <t>ΜΠΑΜΙ</t>
  </si>
  <si>
    <t>ΑΝ169915</t>
  </si>
  <si>
    <t>ΛΑΜΠΡΙΝΗ</t>
  </si>
  <si>
    <t>ΜΠΟΥΡΙΝΑΡΗ</t>
  </si>
  <si>
    <t>ΑΙ871301</t>
  </si>
  <si>
    <t>ΠΑΛΑΙΟΘΟΔΩΡΟΣ</t>
  </si>
  <si>
    <t>ΑΡ320828</t>
  </si>
  <si>
    <t>ΣΕΡΑΦΕΙΜ</t>
  </si>
  <si>
    <t>ΓΙΑΠΑΛΗΣ</t>
  </si>
  <si>
    <t>ΑΗ781441</t>
  </si>
  <si>
    <t>ΑΑ007440</t>
  </si>
  <si>
    <t>ΔΑΝΑΗ</t>
  </si>
  <si>
    <t>ΑΒ612877</t>
  </si>
  <si>
    <t>ΑΒ451926</t>
  </si>
  <si>
    <t>ΑΚ198071</t>
  </si>
  <si>
    <t>ΑΝΔΡΕΟΠΟΥΛΟΣ</t>
  </si>
  <si>
    <t>ΑΝ827989</t>
  </si>
  <si>
    <t>ΣΙΦΟΥΝΙΟΥ</t>
  </si>
  <si>
    <t>ΑΟ816566</t>
  </si>
  <si>
    <t>ΚΑΡΑΣΜΑΝΑΚΗΣ</t>
  </si>
  <si>
    <t>ΦΑΙΔΡΑ ΕΙΡΗΝΗ</t>
  </si>
  <si>
    <t>ΣΟΥΚΕΡΑ</t>
  </si>
  <si>
    <t>ΑΜ581721</t>
  </si>
  <si>
    <t>AI 329715</t>
  </si>
  <si>
    <t>ΜΠΑΖΑΚΑΣ</t>
  </si>
  <si>
    <t>ΑΖ795169</t>
  </si>
  <si>
    <t>ΒΟΥΛΔΟΥΚΗ</t>
  </si>
  <si>
    <t>ΑΜ911615</t>
  </si>
  <si>
    <t>ΡΕΚΛΕΙΤΗ</t>
  </si>
  <si>
    <t>ΑΜ224105</t>
  </si>
  <si>
    <t>ΔΗΜΗΤΡΙΟΣ ΑΧΙΛΛΕΑΣ</t>
  </si>
  <si>
    <t>ΤΣΙΛΙΓΙΑΝΝΗΣ</t>
  </si>
  <si>
    <t>ΑΟ303804</t>
  </si>
  <si>
    <t>ΣΚΛΗΡΗ</t>
  </si>
  <si>
    <t>ΑΚ120412</t>
  </si>
  <si>
    <t>ΚΑΡΑΠΕΤΣΑΣ</t>
  </si>
  <si>
    <t>ΤΣΙΟΛΠΙΔΟΥ</t>
  </si>
  <si>
    <t>ΑΗ342896</t>
  </si>
  <si>
    <t>ΤΟΜΠΡΟΥ</t>
  </si>
  <si>
    <t>ΑΒ782916</t>
  </si>
  <si>
    <t>ΒΑΣΙΛΕΙΟΣ  ΕΜΜΑΝΟΥΗΛ</t>
  </si>
  <si>
    <t>ΒΥΤΟΠΟΥΛΟΣ</t>
  </si>
  <si>
    <t>ΑΙ997522</t>
  </si>
  <si>
    <t>ΜΠΙΤΣΑΚΑΚΗ</t>
  </si>
  <si>
    <t>ΑΚ979432</t>
  </si>
  <si>
    <t>ΠΑΝΑΓΑΚΗ</t>
  </si>
  <si>
    <t>ΑΜ301495</t>
  </si>
  <si>
    <t>ΕΜΕΝΙΔΟΥ</t>
  </si>
  <si>
    <t>ΑΟ956945</t>
  </si>
  <si>
    <t>ΧΡΗΣΤΟΣ ΠΑΝΑΓΙΩΤΗΣ</t>
  </si>
  <si>
    <t>ΦΑΣΙΑΝΗΣ</t>
  </si>
  <si>
    <t>ΑΜ486328</t>
  </si>
  <si>
    <t>ΚΑΛΑΪΤΖΙΔΗΣ</t>
  </si>
  <si>
    <t>AO 403925</t>
  </si>
  <si>
    <t>ΠΛΕΞΟΥΔΑ</t>
  </si>
  <si>
    <t>ΑΡ279182</t>
  </si>
  <si>
    <t>Α00362541</t>
  </si>
  <si>
    <t>ΣΦΑΚΙΑΝΑΚΗ</t>
  </si>
  <si>
    <t>ΑΙ945716</t>
  </si>
  <si>
    <t>ΠΑΡΑΣΚΕΥΟΠΟΥΛΟΣ</t>
  </si>
  <si>
    <t>ΑΜ 912080</t>
  </si>
  <si>
    <t>ΓΚΑΤΣΟΥ</t>
  </si>
  <si>
    <t>ΑΙ207868</t>
  </si>
  <si>
    <t>Α00013324</t>
  </si>
  <si>
    <t>ΔΙΟΝΥΣΙΟΥ</t>
  </si>
  <si>
    <t>ΑΙ932844</t>
  </si>
  <si>
    <t>ΚΑΛΟΓΗΡΟΣ</t>
  </si>
  <si>
    <t>ΑΜ795339</t>
  </si>
  <si>
    <t>ΒΛΑΔΙΜΗΡΟΣ</t>
  </si>
  <si>
    <t>ΝΤΑΜΟΤΣΙΔΗΣ</t>
  </si>
  <si>
    <t>ΑΗ859605</t>
  </si>
  <si>
    <t>ΑΡΣΟΝΙΑΔΗΣ</t>
  </si>
  <si>
    <t>ΑΝ406079</t>
  </si>
  <si>
    <t>ΜΠΑΚΟΓΙΩΡΓΟΥ</t>
  </si>
  <si>
    <t>ΑΜ808034</t>
  </si>
  <si>
    <t>ΑΝ329042</t>
  </si>
  <si>
    <t>ΑΔΑΜΑΚΗΣ</t>
  </si>
  <si>
    <t>ΑΖ211906</t>
  </si>
  <si>
    <t>ΑΟ199979</t>
  </si>
  <si>
    <t>ΤΣΙΤΣΟΠΟΥΛΟΣ</t>
  </si>
  <si>
    <t>ΑΙ394308</t>
  </si>
  <si>
    <t xml:space="preserve">ΚΩΝΣΤΑΝΤΙΝΟΣ </t>
  </si>
  <si>
    <t>ΑΒ859015</t>
  </si>
  <si>
    <t>ΜΑΡΙΝΟΥ</t>
  </si>
  <si>
    <t>ΑΚ401467</t>
  </si>
  <si>
    <t>ΙΓΝΑΤΙΟΥ</t>
  </si>
  <si>
    <t>ΑΟ385445</t>
  </si>
  <si>
    <t>ΓΚΟΛΦΙΝΟΥ</t>
  </si>
  <si>
    <t>ΑΙ219172</t>
  </si>
  <si>
    <t>ΑΙ320549</t>
  </si>
  <si>
    <t>ΤΣΟΡΜΠΑΤΖΟΓΛΟΥ</t>
  </si>
  <si>
    <t>AK881442</t>
  </si>
  <si>
    <t>ΝΑΝΟΣ</t>
  </si>
  <si>
    <t>ΑΖ311447</t>
  </si>
  <si>
    <t>ΚΑΛΛΙΑΡΕΚΟΥ</t>
  </si>
  <si>
    <t>ΑΚ384871</t>
  </si>
  <si>
    <t>ΚΑΚΑΓΙΑΝΝΗ</t>
  </si>
  <si>
    <t>ΑΗ825369</t>
  </si>
  <si>
    <t>ΣΚΛΑΒΟΥΝΑΚΟΣ</t>
  </si>
  <si>
    <t>AK395123</t>
  </si>
  <si>
    <t>ΜΑΝΤΖΙΑΡΑΣ</t>
  </si>
  <si>
    <t>ΑΝ847633</t>
  </si>
  <si>
    <t>ΧΡΥΣΑΝΘΟΣ</t>
  </si>
  <si>
    <t>ΓΕΡΟΔΗΜΟΣ</t>
  </si>
  <si>
    <t>ΑΒ810200</t>
  </si>
  <si>
    <t>ΤΑΣΙΟΣ</t>
  </si>
  <si>
    <t>ΑΖ782038</t>
  </si>
  <si>
    <t>ΧΑΤΖΗΕΥΦΡΑΙΜΙΔΗΣ</t>
  </si>
  <si>
    <t>ΑΝ354563</t>
  </si>
  <si>
    <t>ΚΑΚΜΕΖΗ</t>
  </si>
  <si>
    <t>ΑΖ311695</t>
  </si>
  <si>
    <t>ΔΕΡΒΙΛΗΣ</t>
  </si>
  <si>
    <t>ΑΝ295434</t>
  </si>
  <si>
    <t>ΜΠΙΚΑΚΗΣ</t>
  </si>
  <si>
    <t>ΑΖ292458</t>
  </si>
  <si>
    <t>ΤΣΕΛΕΜΠΗΣ</t>
  </si>
  <si>
    <t>ΑΟ228384</t>
  </si>
  <si>
    <t>ΤΖΗΜΟΡΩΤΑΣ</t>
  </si>
  <si>
    <t>ΑΒ111101</t>
  </si>
  <si>
    <t>ΛΟΥΝΓΚΟΥ</t>
  </si>
  <si>
    <t>ΑΝ256961</t>
  </si>
  <si>
    <t>ΒΑΜΒΑΚΙΔΟΥ</t>
  </si>
  <si>
    <t>Χ887937</t>
  </si>
  <si>
    <t>ΔΑΓΛΕΡΗΣ</t>
  </si>
  <si>
    <t>ΑΗ839571</t>
  </si>
  <si>
    <t>ΒΛΑΣΤΟΥ</t>
  </si>
  <si>
    <t>ΑΜ960533</t>
  </si>
  <si>
    <t>ΣΑΚΚΑ</t>
  </si>
  <si>
    <t>ΑΝ295246</t>
  </si>
  <si>
    <t>ΡΙΣΒΑ</t>
  </si>
  <si>
    <t>ΑΜ751660</t>
  </si>
  <si>
    <t>ΠΙΠΕΡΙΔΟΥ</t>
  </si>
  <si>
    <t>ΣΟΥΖΑΝΑ</t>
  </si>
  <si>
    <t>ΑΜ691874</t>
  </si>
  <si>
    <t>ΜΠΑΛΑΛΑΣ</t>
  </si>
  <si>
    <t>ΑΝ490678</t>
  </si>
  <si>
    <t>ΛΕΒΕΝΤΗΣ</t>
  </si>
  <si>
    <t>ΑΚ759882</t>
  </si>
  <si>
    <t>ΓΟΥΜΙΔΗΣ</t>
  </si>
  <si>
    <t>ΑΙ897093</t>
  </si>
  <si>
    <t>ΚΩΝΣΤΑΝΤΙΝΟΣ ΕΛΕΥΘΕΡ</t>
  </si>
  <si>
    <t>ΑΓΓΕΛΙΔΟΥ</t>
  </si>
  <si>
    <t>Α00315569</t>
  </si>
  <si>
    <t>ΠΑΥΛΙΔΟΥ</t>
  </si>
  <si>
    <t>ΑΝ411488</t>
  </si>
  <si>
    <t>ΠΟΥΚΑΜΙΣΑΣ</t>
  </si>
  <si>
    <t>ΑΝ405360</t>
  </si>
  <si>
    <t>ΑΜ852805</t>
  </si>
  <si>
    <t>ΜΠΙΝΙΣΗΣ</t>
  </si>
  <si>
    <t>ΑΗ604260</t>
  </si>
  <si>
    <t>ΚΑΡΑΤΖΑ</t>
  </si>
  <si>
    <t>ΑΜ980767</t>
  </si>
  <si>
    <t>ΒΑΣΔΕΚΗΣ</t>
  </si>
  <si>
    <t>ΑΜ 375740</t>
  </si>
  <si>
    <t>ΠΑΠΑΝΤΩΝΑΚΗΣ</t>
  </si>
  <si>
    <t>ΑΟ445684</t>
  </si>
  <si>
    <t>ΒΑΡΤΖΙΔΗΣ</t>
  </si>
  <si>
    <t>ΑΡ031472</t>
  </si>
  <si>
    <t xml:space="preserve">ΕΛΕΝΗ </t>
  </si>
  <si>
    <t>ΠΑΝΑΓΟΠΟΥΛΟΥ</t>
  </si>
  <si>
    <t>ΑΝ053922</t>
  </si>
  <si>
    <t>ΚΑΛΛΙΜΑΝΗΣ</t>
  </si>
  <si>
    <t>Χ778891</t>
  </si>
  <si>
    <t xml:space="preserve">ΠΑΝΑΓΙΩΤΗΣ </t>
  </si>
  <si>
    <t>ΚΛΕΙΔΕΡΗΣ</t>
  </si>
  <si>
    <t>ΑΕ062478</t>
  </si>
  <si>
    <t>ΑΒ082216</t>
  </si>
  <si>
    <t>ΒΕΡΓΙΝΗΣ</t>
  </si>
  <si>
    <t>ΑΙ276749</t>
  </si>
  <si>
    <t>ΧΟΥΛΙΑΡΑ</t>
  </si>
  <si>
    <t>ΑΝ484190</t>
  </si>
  <si>
    <t>ΑΔΑΜΑΝΤΙΟΣ ΡΑΦΑΗΛ</t>
  </si>
  <si>
    <t>ΒΑΡΝΑΣ</t>
  </si>
  <si>
    <t>ΑΙ935601</t>
  </si>
  <si>
    <t>ΒΡΑΝΤΖΑ</t>
  </si>
  <si>
    <t>ΑΚ415366</t>
  </si>
  <si>
    <t>ΙΤΣΑ</t>
  </si>
  <si>
    <t>ΑΜ119238</t>
  </si>
  <si>
    <t>ΛΑΓΓΟΥΣΗΣ</t>
  </si>
  <si>
    <t>ΛΑΔΑΣ</t>
  </si>
  <si>
    <t>ΑΝ344972</t>
  </si>
  <si>
    <t>ΠΑΠΟΥΔΗΣ</t>
  </si>
  <si>
    <t>ΑΗ409118</t>
  </si>
  <si>
    <t>ΑΤΣΩΝΙΟΣ</t>
  </si>
  <si>
    <t>ΑΜ 142353</t>
  </si>
  <si>
    <t>ΑΖ748229</t>
  </si>
  <si>
    <t>ΑΡΕΤΗ-ΗΡΩ</t>
  </si>
  <si>
    <t>ΧΑΜΟΥ</t>
  </si>
  <si>
    <t>ΑΙ850196</t>
  </si>
  <si>
    <t>ΤΖΗΜΟΡΩΤΑ</t>
  </si>
  <si>
    <t>ΑΟ321766</t>
  </si>
  <si>
    <t>ΑΙ845942</t>
  </si>
  <si>
    <t>ΑΚΡΙΤΑΣ</t>
  </si>
  <si>
    <t>ΑΚ982739</t>
  </si>
  <si>
    <t>ΚΑΛΙΟΠΗ</t>
  </si>
  <si>
    <t>ΚΑΡΑΓΙΑΜΠΑ</t>
  </si>
  <si>
    <t>ΑΝ902934</t>
  </si>
  <si>
    <t>ΚΑΡΑΒΕΛΑΚΗΣ</t>
  </si>
  <si>
    <t>ΑΜ967385</t>
  </si>
  <si>
    <t>AK430148</t>
  </si>
  <si>
    <t>ΧΡΙΣΤΙΝΑ ΝΙΚΟΛΕΤΑ</t>
  </si>
  <si>
    <t>ΓΚΑΖΟΥ</t>
  </si>
  <si>
    <t>ΑΜ721390</t>
  </si>
  <si>
    <t>ΣΟΥΓΙΑΣ</t>
  </si>
  <si>
    <t>ΑΗ765837</t>
  </si>
  <si>
    <t>ΝΤΙΑΦΑΣ</t>
  </si>
  <si>
    <t>ΑΑ412622</t>
  </si>
  <si>
    <t>ΓΙΑΝΝΙΟΣ</t>
  </si>
  <si>
    <t>ΑΟ688004</t>
  </si>
  <si>
    <t>ΖΩΗΣ</t>
  </si>
  <si>
    <t>ΑΕ727727</t>
  </si>
  <si>
    <t>ΠΕΡΣΕΦΟΝΗ</t>
  </si>
  <si>
    <t>ΚΑΡΑΙΣΚΟΥ</t>
  </si>
  <si>
    <t>ΑΜ811299</t>
  </si>
  <si>
    <t>ΜΑΛΛΙΟΠΟΥΛΟΥ</t>
  </si>
  <si>
    <t>ΑΜ380160</t>
  </si>
  <si>
    <t>ΑΓΑΠΗ</t>
  </si>
  <si>
    <t>ΦΟΥΣΚΑ</t>
  </si>
  <si>
    <t>ΑΙ611429</t>
  </si>
  <si>
    <t>ΑΙ810864</t>
  </si>
  <si>
    <t>ΚΟΥΤΣΙΩΡΑ</t>
  </si>
  <si>
    <t>ΑΝ853173</t>
  </si>
  <si>
    <t>ΠΛΟΧΩΡΟΣ</t>
  </si>
  <si>
    <t>ΑΒ476845</t>
  </si>
  <si>
    <t>ΜΠΟΥΤΣΕΛΗ</t>
  </si>
  <si>
    <t>ΑΝ104401</t>
  </si>
  <si>
    <t>ΚΑΤΣΙΓΙΑΝΝΗΣ</t>
  </si>
  <si>
    <t>ΑΜ365119</t>
  </si>
  <si>
    <t>ΠΗΝΕΛΟΠΗ</t>
  </si>
  <si>
    <t>ΠΑΠΑΔΗΜΟΥ</t>
  </si>
  <si>
    <t>ΑΗ999216</t>
  </si>
  <si>
    <t>ΑΟ248384</t>
  </si>
  <si>
    <t>ΚΑΡΑΓΙΑΛΙΔΗΣ</t>
  </si>
  <si>
    <t>ΑΗ333673</t>
  </si>
  <si>
    <t>ΜΑΖΑΥΛΗΣ</t>
  </si>
  <si>
    <t>ΑΙ416592</t>
  </si>
  <si>
    <t>ΑΜ120483</t>
  </si>
  <si>
    <t>ΚΑΛΠΑΚΤΖΙΔΗΣ</t>
  </si>
  <si>
    <t>ΑΝ 170390</t>
  </si>
  <si>
    <t>ΑΗ700120</t>
  </si>
  <si>
    <t>ΒΕΡΔΟΣ</t>
  </si>
  <si>
    <t>ΑΟ118636</t>
  </si>
  <si>
    <t>ΛΥΚΙΔΟΥ</t>
  </si>
  <si>
    <t>ΑΗ916152</t>
  </si>
  <si>
    <t>ΠΑΝΑΓΟΣ</t>
  </si>
  <si>
    <t>ΑΜ876636</t>
  </si>
  <si>
    <t>ΦΙΛΑΡΕΤΟΣ</t>
  </si>
  <si>
    <t>ΚΑΡΑΓΙΑΝΝΑΚΗΣ</t>
  </si>
  <si>
    <t>ΑΚ422532</t>
  </si>
  <si>
    <t>Α00105989</t>
  </si>
  <si>
    <t>ΘΕΟΦΑΝΙΔΟΥ</t>
  </si>
  <si>
    <t>ΑΜ859434</t>
  </si>
  <si>
    <t>ΔΑΝΙΗΛΙΔΗΣ</t>
  </si>
  <si>
    <t>ΑΚ982670</t>
  </si>
  <si>
    <t>ΑΗ790765</t>
  </si>
  <si>
    <t>ΔΑΝΑΗ ΜΥΡΣΙΝΗ</t>
  </si>
  <si>
    <t>ΓΟΥΓΑΡΗ</t>
  </si>
  <si>
    <t>ΑΟ984356</t>
  </si>
  <si>
    <t>ΛΙΑΠΗΣ</t>
  </si>
  <si>
    <t xml:space="preserve">ΓΕΩΡΓΙΟΣ </t>
  </si>
  <si>
    <t>ΣΙΝΗΣ</t>
  </si>
  <si>
    <t>ΑΡ300839</t>
  </si>
  <si>
    <t>ΧΑΡΙΤΩΜΕΝΗ ΜΑΡΙΝΑ</t>
  </si>
  <si>
    <t>ΚΟΥΒΑΡΑ</t>
  </si>
  <si>
    <t>ΑΚ463910</t>
  </si>
  <si>
    <t>ΜΑΥΡΙΔΗ</t>
  </si>
  <si>
    <t>ΑΚ691522</t>
  </si>
  <si>
    <t>ΑΕ861946</t>
  </si>
  <si>
    <t>ΘΕΟΔΩΡΗΣ</t>
  </si>
  <si>
    <t>ΑΜ346644</t>
  </si>
  <si>
    <t>ΠΑΠΟΥΤΣΗ</t>
  </si>
  <si>
    <t>ΑΙ229825</t>
  </si>
  <si>
    <t>ΠΑΝΑΓΙΟΣ</t>
  </si>
  <si>
    <t>ΚΩΝΣΤΑΝΤΙΝΟΣ ΡΑΦΑΗΛ</t>
  </si>
  <si>
    <t>ΠΟΥΛΙΚΙΔΗΣ</t>
  </si>
  <si>
    <t>ΑΜ414633</t>
  </si>
  <si>
    <t>ΣΚΡΕΚΑΣ</t>
  </si>
  <si>
    <t>ΑΡ710208</t>
  </si>
  <si>
    <t>ΠΑΡΘΕΝΑ ΕΛΕΝΗ</t>
  </si>
  <si>
    <t>ΑΣΛΑΝΙΔΟΥ</t>
  </si>
  <si>
    <t>ΑΜ293549</t>
  </si>
  <si>
    <t>ΑΝΤΖΕΛΑ</t>
  </si>
  <si>
    <t>ΑΓΟΡΟΥ</t>
  </si>
  <si>
    <t>ΑΚ384608</t>
  </si>
  <si>
    <t>ΜΠΑΤΣΗ</t>
  </si>
  <si>
    <t>ΑΚ646713</t>
  </si>
  <si>
    <t>ΚΟΥΜΑΝΟΥΔΗΣ</t>
  </si>
  <si>
    <t>AM728517</t>
  </si>
  <si>
    <t>ΑΟ775862</t>
  </si>
  <si>
    <t>ΚΛΑΨΗΣ</t>
  </si>
  <si>
    <t>ΑΒ113026</t>
  </si>
  <si>
    <t>ΝΤΑΛΑΣ</t>
  </si>
  <si>
    <t>ΑΡ596746</t>
  </si>
  <si>
    <t>ΑΓΓΕΛΑΚΗΣ</t>
  </si>
  <si>
    <t>ΑΝ460511</t>
  </si>
  <si>
    <t>ΣΟΦΟΥ</t>
  </si>
  <si>
    <t>ΑΙ915557</t>
  </si>
  <si>
    <t>ΤΣΙΡΙΜΩΚΟΣ</t>
  </si>
  <si>
    <t>ΑΗ999923</t>
  </si>
  <si>
    <t>ΜΑΡΑΤΟΣ</t>
  </si>
  <si>
    <t>ΑΕ229050</t>
  </si>
  <si>
    <t>ΚΥΡΑΤΣΟΥΣ</t>
  </si>
  <si>
    <t>ΑΙ325712</t>
  </si>
  <si>
    <t xml:space="preserve">ΔΗΜΗΤΡΑ </t>
  </si>
  <si>
    <t>ΚΟΣΜΙΔΟΥ</t>
  </si>
  <si>
    <t>ΑΡ229412</t>
  </si>
  <si>
    <t>ΑΤ 416102</t>
  </si>
  <si>
    <t>ΜΑΜΜΑΛΗΣ</t>
  </si>
  <si>
    <t>ΑΡ999736</t>
  </si>
  <si>
    <t>ΕΜΜΑΝΟΥΗΛΙΔΗΣ</t>
  </si>
  <si>
    <t>ΑΟ400831</t>
  </si>
  <si>
    <t>ΜΟΥΤΣΙΟΣ</t>
  </si>
  <si>
    <t>ΑΜ808835</t>
  </si>
  <si>
    <t>ΑΟ775146</t>
  </si>
  <si>
    <t>ΚΑΠΕΤΑΝΑΚΗΣ</t>
  </si>
  <si>
    <t>ΕΥΑΓΓΕΛΙΑ ΑΙΚΑΤΕΡΙΝΗ</t>
  </si>
  <si>
    <t>ΡΕΒΙΘΗ</t>
  </si>
  <si>
    <t>ΑΜ330600</t>
  </si>
  <si>
    <t>ΧΟΝΔΡΟΒΑΣΙΛΟΠΟΥΛΟΣ</t>
  </si>
  <si>
    <t>ΑΚ068156</t>
  </si>
  <si>
    <t>ΑΔΑΜΑΝΤΙΟΣ</t>
  </si>
  <si>
    <t>ΑΝ855594</t>
  </si>
  <si>
    <t>Α00046272</t>
  </si>
  <si>
    <t>ΜΕΓΑΣ</t>
  </si>
  <si>
    <t>ΑΖ317290</t>
  </si>
  <si>
    <t>ΟΡΕΣΤΗΣ</t>
  </si>
  <si>
    <t>ΑΝ994234</t>
  </si>
  <si>
    <t>ΒΟΥΛΓΑΡΗΣ</t>
  </si>
  <si>
    <t>ΑΚ038534</t>
  </si>
  <si>
    <t>ΓΚΕΛΟΣ</t>
  </si>
  <si>
    <t>ΑΝ293675</t>
  </si>
  <si>
    <t>ΓΕΩΡΓΙΟΣ ΚΩΝΣΤΑΝΤΙΝΟΣ</t>
  </si>
  <si>
    <t>ΣΤΕΡΡΟΣ</t>
  </si>
  <si>
    <t>ΠΟΥΛΙΟΥ</t>
  </si>
  <si>
    <t>ΑΝ265908</t>
  </si>
  <si>
    <t xml:space="preserve"> ΕΥΘΥΜΙΑ</t>
  </si>
  <si>
    <t>ΝΤΑΛΗ</t>
  </si>
  <si>
    <t>ΑΝ123821</t>
  </si>
  <si>
    <t>ΣΙΩΝΗΣ</t>
  </si>
  <si>
    <t>ΑΟ399714</t>
  </si>
  <si>
    <t>ΚΑΝΕΛΛΑΚΟΠΟΥΛΟΣ</t>
  </si>
  <si>
    <t>ΑΑ319980</t>
  </si>
  <si>
    <t>ΠΑΣΙΑΛΗ</t>
  </si>
  <si>
    <t>Α00004987</t>
  </si>
  <si>
    <t>ΑΜ376773</t>
  </si>
  <si>
    <t>ΔΙΟΓΕΝΗΣ</t>
  </si>
  <si>
    <t>ΚΟΡΔΩΝΗΣ</t>
  </si>
  <si>
    <t>ΑΙ368991</t>
  </si>
  <si>
    <t>ΤΖΙΑΜΠΑΖΗΣ</t>
  </si>
  <si>
    <t>ΑΜ728658</t>
  </si>
  <si>
    <t>ΠΑΠΑΖΟΓΛΟΥ</t>
  </si>
  <si>
    <t>ΑΗ873140</t>
  </si>
  <si>
    <t>ΔΕΛΛΑΠΟΡΤΑ</t>
  </si>
  <si>
    <t>ΑΙ199696</t>
  </si>
  <si>
    <t>ΑΙ216954</t>
  </si>
  <si>
    <t>ΑΒ373607</t>
  </si>
  <si>
    <t>ΚΟΥΛΟΥΡΗΣ</t>
  </si>
  <si>
    <t>ΑΝ810407</t>
  </si>
  <si>
    <t>ΧΛΑΠΑΝΑ</t>
  </si>
  <si>
    <t>ΑΜ845929</t>
  </si>
  <si>
    <t>ΠΑΛΙΑΡΟΥ</t>
  </si>
  <si>
    <t>ΑΖ249066</t>
  </si>
  <si>
    <t>ΓΕΩΡΓΙΟΣ ΧΡΗΣΤΟΣ</t>
  </si>
  <si>
    <t>ΚΙΟΡΟΓΛΟΥ</t>
  </si>
  <si>
    <t>ΑΗ395845</t>
  </si>
  <si>
    <t>ΑΜ752126</t>
  </si>
  <si>
    <t>ΠΑΝΕΤΣΟΥ</t>
  </si>
  <si>
    <t>ΑΟ859336</t>
  </si>
  <si>
    <t>ΣΤΑΜΟΥΛΗ</t>
  </si>
  <si>
    <t>ΑΝ328075</t>
  </si>
  <si>
    <t>ΓΙΑΝΝΑΡΑΚΗ</t>
  </si>
  <si>
    <t>Χ993394</t>
  </si>
  <si>
    <t>ΑΑ977361</t>
  </si>
  <si>
    <t>ΑΧΤΥΠΗΣ</t>
  </si>
  <si>
    <t>ΑΙ776263</t>
  </si>
  <si>
    <t>ΑΒ306988</t>
  </si>
  <si>
    <t>EΡΕΝ ΑΡΙΣΤΕΙΔΗΣ</t>
  </si>
  <si>
    <t>ΑΜΠΑΖ</t>
  </si>
  <si>
    <t>ΚΙΛΑΖΙΔΟΥ</t>
  </si>
  <si>
    <t>AI738064</t>
  </si>
  <si>
    <t>ΜΕΤΣΚΑΣ</t>
  </si>
  <si>
    <t>ΑΗ842733</t>
  </si>
  <si>
    <t>ΠΟΛΥΧΡΟΝΙΟΥ</t>
  </si>
  <si>
    <t>ΑΚ437655</t>
  </si>
  <si>
    <t>BΗΣΣΑΡΙΩΝ</t>
  </si>
  <si>
    <t>ΑΡΓΥΡΟΠΟΥΛΟΣ</t>
  </si>
  <si>
    <t>ΑΜ753559</t>
  </si>
  <si>
    <t>ΜΑΤΣΟΥΚΑΣ</t>
  </si>
  <si>
    <t>ΑΟ288343</t>
  </si>
  <si>
    <t>ΖΕΡΒΟΥ</t>
  </si>
  <si>
    <t>ΑΗ512973</t>
  </si>
  <si>
    <t>ΚΑΡΑΓΙΑΚΑΣ</t>
  </si>
  <si>
    <t>Α00270268</t>
  </si>
  <si>
    <t>ΑΙ756129</t>
  </si>
  <si>
    <t>ΑΧΛΑΔΙΑΝΑΚΗΣ</t>
  </si>
  <si>
    <t>ΑΜ968510</t>
  </si>
  <si>
    <t>ΑΗ890059</t>
  </si>
  <si>
    <t>ΚΩΤΣΟΠΟΥΛΟΣ</t>
  </si>
  <si>
    <t>ΑΖ953581</t>
  </si>
  <si>
    <t>ΜΑΤΤΟΣ</t>
  </si>
  <si>
    <t>ΑΜ820825</t>
  </si>
  <si>
    <t>Π-7162</t>
  </si>
  <si>
    <t>ΚΑΤΣΑΠΡΑΚΑΚΗΣ</t>
  </si>
  <si>
    <t>ΑΝ028485</t>
  </si>
  <si>
    <t>ΜΕΛΕΤΙΟΣ</t>
  </si>
  <si>
    <t>ΑΕ097411</t>
  </si>
  <si>
    <t>ΣΑΒΡΑΜΗΣ</t>
  </si>
  <si>
    <t>ΑΗ617392</t>
  </si>
  <si>
    <t>ΦΡΑΝΤΖΗΣ</t>
  </si>
  <si>
    <t>ΑΙ208029</t>
  </si>
  <si>
    <t>ΜΙΑΟΥΛΗ</t>
  </si>
  <si>
    <t>ΑΜ859466</t>
  </si>
  <si>
    <t>ΤΑΣΙΟΥΛΗ</t>
  </si>
  <si>
    <t>ΑΖ220522</t>
  </si>
  <si>
    <t>ΤΣΙΓΑΡΑΣ</t>
  </si>
  <si>
    <t>ΑΗ782013</t>
  </si>
  <si>
    <t>ΕΛΛΗ</t>
  </si>
  <si>
    <t>ΑΗ271680</t>
  </si>
  <si>
    <t>ΓΕΩΡΓΑΝΟΥ</t>
  </si>
  <si>
    <t>ΑΝ155933</t>
  </si>
  <si>
    <t>ΜΙΧΑΕΛΑ</t>
  </si>
  <si>
    <t>ΚΕΧΑΓΙΑ</t>
  </si>
  <si>
    <t>Α872347</t>
  </si>
  <si>
    <t>ΚΟΥΡΕΜΕΝΟΣ</t>
  </si>
  <si>
    <t>ΑΙ670156</t>
  </si>
  <si>
    <t>ΜΑΡΟΥΛΗ</t>
  </si>
  <si>
    <t>ΑΖ259106</t>
  </si>
  <si>
    <t>ΜΑΡΙΝΑΚΗΣ</t>
  </si>
  <si>
    <t>ΑΙ451122</t>
  </si>
  <si>
    <t>ΓΚΕΡΓΚΙΔΗΣ</t>
  </si>
  <si>
    <t>ΑΝ427157</t>
  </si>
  <si>
    <t>ΚΩΣΤΙΚΑ</t>
  </si>
  <si>
    <t>Χ977586</t>
  </si>
  <si>
    <t>ΤΣΙΓΑΡΙΔΑΣ</t>
  </si>
  <si>
    <t>Τ-5914</t>
  </si>
  <si>
    <t>ΚΑΡΓΙΩΤΗΣ</t>
  </si>
  <si>
    <t>ΑΚ249630</t>
  </si>
  <si>
    <t>ΑΡ899728</t>
  </si>
  <si>
    <t>ΔΙΝΟΒΙΤΣΗΣ</t>
  </si>
  <si>
    <t>ΑΚ500904</t>
  </si>
  <si>
    <t>ΚΙΟΥΣΗ</t>
  </si>
  <si>
    <t>ΑΙ480873</t>
  </si>
  <si>
    <t>ΚΙΤΣΟΣ</t>
  </si>
  <si>
    <t>Α00146002</t>
  </si>
  <si>
    <t>ΠΑΣΧΑΛΙΔΟΥ</t>
  </si>
  <si>
    <t>ΑΟ902235</t>
  </si>
  <si>
    <t>ΒΑΛΕΝΤΙΝΗ</t>
  </si>
  <si>
    <t>ΖΑΧΑΡΙΑ</t>
  </si>
  <si>
    <t>ΑΚ930857</t>
  </si>
  <si>
    <t>ΑΙΚΑΤΕΡΙΝΗ ΜΑΡΙΑ</t>
  </si>
  <si>
    <t>ΙΣΠΟΓΛΟΥ</t>
  </si>
  <si>
    <t>ΑΖ248263</t>
  </si>
  <si>
    <t>ΦΕΡΕΣΙΑΔΗΣ</t>
  </si>
  <si>
    <t>ΦΡΕΙΔΕΡΙΚΗ</t>
  </si>
  <si>
    <t>ΑΛΒΕΡΤΗ</t>
  </si>
  <si>
    <t>ΑΗ546534</t>
  </si>
  <si>
    <t>ΣΕΙΡΗΝΙΩΤΗΣ</t>
  </si>
  <si>
    <t>ΑΟ321417</t>
  </si>
  <si>
    <t>ΜΑΡΙΑ ΑΝΑΣΤΑΣΙΑ</t>
  </si>
  <si>
    <t>ΚΟΥΤΣΟΥΛΑ</t>
  </si>
  <si>
    <t>ΑΜ326777</t>
  </si>
  <si>
    <t>ΑΒ092200</t>
  </si>
  <si>
    <t>ΠΕΛΟΠΙΔΑ</t>
  </si>
  <si>
    <t>ΑΡ335092</t>
  </si>
  <si>
    <t>ΝΤΟΙ</t>
  </si>
  <si>
    <t>ΑΝ983369</t>
  </si>
  <si>
    <t>ΑΟ 726380</t>
  </si>
  <si>
    <t>ΣΠΥΡΙΔΑΚΗ</t>
  </si>
  <si>
    <t>ΑΙ408900</t>
  </si>
  <si>
    <t>ΡΗΓΟΠΟΥΛΟΣ</t>
  </si>
  <si>
    <t>ΑΗ997151</t>
  </si>
  <si>
    <t>ΠΟΥΤΟΥΚΗΣ</t>
  </si>
  <si>
    <t>ΑΗ792304</t>
  </si>
  <si>
    <t>ΜΑΡΚΟΥΙΖΟΣ</t>
  </si>
  <si>
    <t>ΑΝ248766</t>
  </si>
  <si>
    <t>ΛΑΔΙΑ</t>
  </si>
  <si>
    <t>ΑΝ260816</t>
  </si>
  <si>
    <t>ΚΑΤΕΡΗ</t>
  </si>
  <si>
    <t>ΑΕ286123</t>
  </si>
  <si>
    <t>ΦΑΚΑ</t>
  </si>
  <si>
    <t>ΑΝ350639</t>
  </si>
  <si>
    <t>ΒΛΑΧΟΠΑΝΑΓΟΥ</t>
  </si>
  <si>
    <t>ΑΕ271458</t>
  </si>
  <si>
    <t>ΜΑΞΑΚΟΥΛΗΣ</t>
  </si>
  <si>
    <t>ΑΝ091776</t>
  </si>
  <si>
    <t>ΑΘΑΝΑΣΙΟΣ ΝΕΚΤΑΡΙΟΣ</t>
  </si>
  <si>
    <t>ΤΖΗΜΑΣ</t>
  </si>
  <si>
    <t>ΑΑ460474</t>
  </si>
  <si>
    <t>ΡΟΙΝΑ</t>
  </si>
  <si>
    <t>ΑΑ083239</t>
  </si>
  <si>
    <t>ΑΜ031266</t>
  </si>
  <si>
    <t>ΕΜΜΑΝΟΥΗΛΙΔΟΥ</t>
  </si>
  <si>
    <t>ΑΒ132958</t>
  </si>
  <si>
    <t>ΓΡΕΚΑΣ</t>
  </si>
  <si>
    <t>ΑΜ294533</t>
  </si>
  <si>
    <t>ΚΟΣΜΑΤΟΥ</t>
  </si>
  <si>
    <t>ΑΙ091520</t>
  </si>
  <si>
    <t>ΜΑΝΤΖΑΦΛΑΡΑΣ</t>
  </si>
  <si>
    <t>ΑΜ373037</t>
  </si>
  <si>
    <t>ΑΚ359919</t>
  </si>
  <si>
    <t>ΠΑΝΑΓΙΩΤΗΣ ΚΥΡΙΑΚΟΣ</t>
  </si>
  <si>
    <t>ΛΙΝΑΣ</t>
  </si>
  <si>
    <t>Α00286129</t>
  </si>
  <si>
    <t>ΤΖΟΥΒΕΚΑ</t>
  </si>
  <si>
    <t>ΑΜ743689</t>
  </si>
  <si>
    <t>ΠΑΛΤΣΙΟΣ</t>
  </si>
  <si>
    <t>ΑΗ842621</t>
  </si>
  <si>
    <t>ΜΗΤΣΙΟΣ</t>
  </si>
  <si>
    <t>ΑΙ817090</t>
  </si>
  <si>
    <t>ΑΜΑΡΓΙΑΝΙΤΑΚΗΣ</t>
  </si>
  <si>
    <t>ΑΖ963751</t>
  </si>
  <si>
    <t>ΚΩΝΣΤΑΝΤΟΥΛΑΣ</t>
  </si>
  <si>
    <t>ΑΜ822771</t>
  </si>
  <si>
    <t>ΣΕΡΒΕΤΑΣ</t>
  </si>
  <si>
    <t>ΑΙ261181</t>
  </si>
  <si>
    <t>ΔΡΟΥΔΑΚΗΣ</t>
  </si>
  <si>
    <t>ΑΑ335007</t>
  </si>
  <si>
    <t>ΤΡΑΙΤΣΗΣ</t>
  </si>
  <si>
    <t>ΓΕΛΑΔΑΡΗΣ</t>
  </si>
  <si>
    <t>ΑΜ070734</t>
  </si>
  <si>
    <t>ΓΙΑΝΝΟΥΧΟΣ</t>
  </si>
  <si>
    <t>ΑΜ791721</t>
  </si>
  <si>
    <t>ΝΑΣΗ</t>
  </si>
  <si>
    <t>ΑΒ000314</t>
  </si>
  <si>
    <t>ΑΙ322962</t>
  </si>
  <si>
    <t>ΑΜ320874</t>
  </si>
  <si>
    <t>ΝΕΟΦΥΤΟΣ</t>
  </si>
  <si>
    <t>ΔΑΦΤΣΙΟΣ</t>
  </si>
  <si>
    <t>ΑΝ767328</t>
  </si>
  <si>
    <t>ΤΖΕΛΕΠΗΣ</t>
  </si>
  <si>
    <t>ΑΝ699089</t>
  </si>
  <si>
    <t>ΑΝΔΡΙΤΣΟΣ</t>
  </si>
  <si>
    <t>ΑΚ284172</t>
  </si>
  <si>
    <t>ΚΛΕΑΝΘΗΣ</t>
  </si>
  <si>
    <t>ΚΑΡΑΠΑΤΣΙΑΣ</t>
  </si>
  <si>
    <t>ΑΟ262334</t>
  </si>
  <si>
    <t>ΔΡΙΒΑΣ</t>
  </si>
  <si>
    <t>Δ-5241</t>
  </si>
  <si>
    <t>ΛΥΜΠΕΡΗΣ</t>
  </si>
  <si>
    <t>ΣΑΡΡΑΣ</t>
  </si>
  <si>
    <t>ΑΚ925100</t>
  </si>
  <si>
    <t>ΒΗΣΣΑΡΙΩΝ</t>
  </si>
  <si>
    <t>ΖΕΡΒΑΣ</t>
  </si>
  <si>
    <t>ΑΟ337473</t>
  </si>
  <si>
    <t>ΡΑΦΑΕΛΑ ΛΟΥΚΙΑ</t>
  </si>
  <si>
    <t>ΑΠΤΑΛΙΔΟΥ</t>
  </si>
  <si>
    <t>ΑΜ710232</t>
  </si>
  <si>
    <t>ΑΟ303193</t>
  </si>
  <si>
    <t>ΚΩΝΣΤΑΝΤΙΝΟΣ ΑΧΙΛΛΕΑΣ</t>
  </si>
  <si>
    <t>ΚΟΓΙΟΣ</t>
  </si>
  <si>
    <t>ΑΗ297739</t>
  </si>
  <si>
    <t>ΤΟΥΡΚΟΓΕΩΡΓΟΣ</t>
  </si>
  <si>
    <t>ΑΖ270858</t>
  </si>
  <si>
    <t>ΑΛΕΤΡΑΣ</t>
  </si>
  <si>
    <t>ΑΜ091314</t>
  </si>
  <si>
    <t>ΚΩΣΤΑΓΙΑΝΝΗ</t>
  </si>
  <si>
    <t>ΑΝ083193</t>
  </si>
  <si>
    <t xml:space="preserve">ΣΛΑΒΙΔΗΣ </t>
  </si>
  <si>
    <t>ΑΙ315122</t>
  </si>
  <si>
    <t>ΤΣΑΧΟΥΡΙΔΗΣ</t>
  </si>
  <si>
    <t>ΑΗ893559</t>
  </si>
  <si>
    <t>ΒΑΜΒΟΥΚΑΣ</t>
  </si>
  <si>
    <t>ΑΝ472876</t>
  </si>
  <si>
    <t>ΙΑΚΩΒΙΔΟΥ</t>
  </si>
  <si>
    <t>ΑΒ129220</t>
  </si>
  <si>
    <t>ΔΑΜΙΑΝΙΔΗΣ</t>
  </si>
  <si>
    <t>ΑΕ310141</t>
  </si>
  <si>
    <t>ΜΑΡΙΑ ΑΙΚΑΤΕΡΙΝΗ</t>
  </si>
  <si>
    <t>ΓΙΑΛΟΥΜΗ</t>
  </si>
  <si>
    <t>ΑΙ013419</t>
  </si>
  <si>
    <t>ΙΩΑΚΕΙΜΙΔΗΣ</t>
  </si>
  <si>
    <t>ΑΝ574903</t>
  </si>
  <si>
    <t>ΧΡΗΣΤΟΣ ΑΘΑΝΑΣΙΟΣ</t>
  </si>
  <si>
    <t>ΜΙΚΡΟΥΛΗΣ</t>
  </si>
  <si>
    <t>ΦΑΝΗ</t>
  </si>
  <si>
    <t>ΑΙ222554</t>
  </si>
  <si>
    <t>ΜΠΟΝΤΙΝΗΣ</t>
  </si>
  <si>
    <t>ΑΡ744138</t>
  </si>
  <si>
    <t>ΑΒ390242</t>
  </si>
  <si>
    <t>ΜΑΝΤΖΙΩΡΗΣ</t>
  </si>
  <si>
    <t>ΑΜ060281</t>
  </si>
  <si>
    <t>ΒΑΓΓΕΛΑΚΗΣ</t>
  </si>
  <si>
    <t>ΑΜ930445</t>
  </si>
  <si>
    <t>ΑΟ386299</t>
  </si>
  <si>
    <t>ΓΙΑΚΑ</t>
  </si>
  <si>
    <t>ΑΗ582325</t>
  </si>
  <si>
    <t>ΚΟΛΟΚΥΘΑΣ</t>
  </si>
  <si>
    <t>ΑΜ723254</t>
  </si>
  <si>
    <t>ΑΗ763774</t>
  </si>
  <si>
    <t>ΓΕΡΑΛΗΣ</t>
  </si>
  <si>
    <t>ΑΡ683538</t>
  </si>
  <si>
    <t>ΑΡ615498</t>
  </si>
  <si>
    <t>ΠΙΝΑΚΟΥΔΗΣ</t>
  </si>
  <si>
    <t>ΑΗ330563</t>
  </si>
  <si>
    <t>ΛΙΟΥΝΗΣ</t>
  </si>
  <si>
    <t>ΑΚ269752</t>
  </si>
  <si>
    <t>ΕΥΑΓΓΕΛΙΑ ΜΑΓΚΑΦΟΥΛΑ</t>
  </si>
  <si>
    <t>ΕΡΩΤΟΚΡΙΤΟΥ</t>
  </si>
  <si>
    <t>ΑΗ949308</t>
  </si>
  <si>
    <t>ΒΙΡΓΙΝΙΑ</t>
  </si>
  <si>
    <t>ΔΡΑΚΟΥ ΓΑΛΑΝΗ</t>
  </si>
  <si>
    <t>ΑΜ069054</t>
  </si>
  <si>
    <t>ΜΑΝΙΚΑΣ</t>
  </si>
  <si>
    <t>ΑΖ479519</t>
  </si>
  <si>
    <t>ΑΗ394581</t>
  </si>
  <si>
    <t>ΣΑΡΔΗΣ</t>
  </si>
  <si>
    <t>ΑΝ618144</t>
  </si>
  <si>
    <t>ΑΗ843762</t>
  </si>
  <si>
    <t>ΕΒΕΛΙΝΑ</t>
  </si>
  <si>
    <t>ΚΟΥΛΛΙΑ</t>
  </si>
  <si>
    <t>ΑΡ235491</t>
  </si>
  <si>
    <t>ΕΛΠΙΔΑ ΣΤΑΜΑΤΙΝΑ</t>
  </si>
  <si>
    <t>ΟΙΚΟΝΟΜΑΚΗ</t>
  </si>
  <si>
    <t>ΑΝ410580</t>
  </si>
  <si>
    <t>ΜΙΜΗΓΙΑΝΝΗ</t>
  </si>
  <si>
    <t>Ρ304302</t>
  </si>
  <si>
    <t xml:space="preserve">ΑΝΑΣΤΑΣΙΟΣ </t>
  </si>
  <si>
    <t>ΤΣΙΑΝΤΟΣ</t>
  </si>
  <si>
    <t>ΑΗ672582</t>
  </si>
  <si>
    <t>ΚΑΠΝΙΣΗΣ</t>
  </si>
  <si>
    <t>ΑΜ112877</t>
  </si>
  <si>
    <t>ΔΕΔΕ</t>
  </si>
  <si>
    <t>ΑΚ773632</t>
  </si>
  <si>
    <t>ΜΑΝΤΖΩΡΟΣ</t>
  </si>
  <si>
    <t>AK 783872</t>
  </si>
  <si>
    <t>ΑΚ977389</t>
  </si>
  <si>
    <t>ΑΧΛΑΔΙΩΤΗΣ</t>
  </si>
  <si>
    <t>ΑΑ804469</t>
  </si>
  <si>
    <t>ΑΜ254577</t>
  </si>
  <si>
    <t>ΜΠΟΥΝΟΒΟΛΙΑΣ</t>
  </si>
  <si>
    <t>ΑΗ356637</t>
  </si>
  <si>
    <t>ΚΑΡΓΑΚΗ</t>
  </si>
  <si>
    <t>ΑΙ964372</t>
  </si>
  <si>
    <t>ΚΡΙΕΚΟΥΚΗΣ</t>
  </si>
  <si>
    <t>ΑΝ506481</t>
  </si>
  <si>
    <t>ΛΙΑΡΑΚΗΣ</t>
  </si>
  <si>
    <t>ΑΒ996240</t>
  </si>
  <si>
    <t>ΑΛΙΚΗ ΘΕΟΔΩΡΑ</t>
  </si>
  <si>
    <t>ΓΚΑΡΙΛΑ</t>
  </si>
  <si>
    <t>ΑΜ555062</t>
  </si>
  <si>
    <t>ΚΩΣΤΟΥΛΑΣ</t>
  </si>
  <si>
    <t>ΑΟ368226</t>
  </si>
  <si>
    <t>Α00158413</t>
  </si>
  <si>
    <t>ΚΟΥΒΕΔΑΚΗΣ</t>
  </si>
  <si>
    <t>ΑΝ475795</t>
  </si>
  <si>
    <t>ΙΠΠΕΚΗΣ</t>
  </si>
  <si>
    <t>ΑΚ929862</t>
  </si>
  <si>
    <t>ΜΟΥΔΟΥΡΗΣ</t>
  </si>
  <si>
    <t>ΑΒ394740</t>
  </si>
  <si>
    <t>ΑΙ351902</t>
  </si>
  <si>
    <t>ΤΣΑΝΑΚΤΣΙΔΗΣ</t>
  </si>
  <si>
    <t>ΑΡ810348</t>
  </si>
  <si>
    <t>ΑΡΧΙΜΑΝΔΡΙΤΗΣ</t>
  </si>
  <si>
    <t>ΑΙ872318</t>
  </si>
  <si>
    <t>ΑΗ873190</t>
  </si>
  <si>
    <t>ΠΡΑΠΑ</t>
  </si>
  <si>
    <t>ΑΖ583635</t>
  </si>
  <si>
    <t>ΑΙ872280</t>
  </si>
  <si>
    <t>ΑΟ574975</t>
  </si>
  <si>
    <t>ΚΑΛΙΟΠΗ ΣΤΕΦΑΝΙΑ</t>
  </si>
  <si>
    <t>ΜΠΟΣΚΟΥ</t>
  </si>
  <si>
    <t>ΑΜ871139</t>
  </si>
  <si>
    <t>ΛΑΛΟΣ</t>
  </si>
  <si>
    <t>ΑΗ296000</t>
  </si>
  <si>
    <t>ΑΓΡΑΦΙΩΤΗ</t>
  </si>
  <si>
    <t>ΑΒ853207</t>
  </si>
  <si>
    <t>ΑΚ421862</t>
  </si>
  <si>
    <t>ΑΒ999671</t>
  </si>
  <si>
    <t>ΑΓΓΟΣ</t>
  </si>
  <si>
    <t>ΑΜ680036</t>
  </si>
  <si>
    <t>ΤΟΠΗΣ</t>
  </si>
  <si>
    <t>ΑΙ282264</t>
  </si>
  <si>
    <t>Α00300591</t>
  </si>
  <si>
    <t>ΠΕΤΑΚΑΚΗΣ</t>
  </si>
  <si>
    <t>ΑΝ345647</t>
  </si>
  <si>
    <t>ΦΑΡΦΑΡΑΣ</t>
  </si>
  <si>
    <t>ΑΟ694586</t>
  </si>
  <si>
    <t>ΦΙΛΙΠΠΟΣ ΑΙΜΙΛΙΟΣ</t>
  </si>
  <si>
    <t>ΣΔΟΥΚΟΣ</t>
  </si>
  <si>
    <t>ΑΝ289546</t>
  </si>
  <si>
    <t>ΤΣΙΝΤΖΟΥ</t>
  </si>
  <si>
    <t>Χ636558</t>
  </si>
  <si>
    <t>ΚΟΥΜΑΚΗ</t>
  </si>
  <si>
    <t>ΑΟ971759</t>
  </si>
  <si>
    <t>ΠΙΕΡΡΟΥΤΣΑΚΟΥ</t>
  </si>
  <si>
    <t>ΑΕ751912</t>
  </si>
  <si>
    <t>ΧΑΤΖΗΙΩΑΝΝΟΥ</t>
  </si>
  <si>
    <t>ΑΚ980613</t>
  </si>
  <si>
    <t>ΑΜ414634</t>
  </si>
  <si>
    <t>ΑΝΑΤΟΛΗ</t>
  </si>
  <si>
    <t>ΠΕΙΜΑΝΙΔΟΥ</t>
  </si>
  <si>
    <t>ΑΒ857289</t>
  </si>
  <si>
    <t>ΑΓΓΕΛΟΣ - ΕΥΣΤΡΑΤΙΟΣ</t>
  </si>
  <si>
    <t>ΣΚΟΥΛΙΚΑΡΙΤΗΣ</t>
  </si>
  <si>
    <t>ΑΖ595013</t>
  </si>
  <si>
    <t>ΜΑΤΘΑΙΟΣ ΑΛΕΞΑΝΔΡΟΣ</t>
  </si>
  <si>
    <t>ΑΗ399784</t>
  </si>
  <si>
    <t>ΝΤΑΜΠΟΣ</t>
  </si>
  <si>
    <t>ΑΡ179224</t>
  </si>
  <si>
    <t>ΣΚΥΛΟΓΙΑΝΝΗΣ</t>
  </si>
  <si>
    <t>ΑΜ378264</t>
  </si>
  <si>
    <t>ΚΑΛΙΝΙΚΗ</t>
  </si>
  <si>
    <t>ΛΕΜΟΝΗ</t>
  </si>
  <si>
    <t>ΑΑ431767</t>
  </si>
  <si>
    <t>ΔΗΜΑΣ</t>
  </si>
  <si>
    <t>AI 802604</t>
  </si>
  <si>
    <t>ΑΚ3455527</t>
  </si>
  <si>
    <t>ΕΛΠΙΝΙΚΗ ΠΗΝΕΛΟΠΗ</t>
  </si>
  <si>
    <t>ΛΑΒΡΑΝΟΥ</t>
  </si>
  <si>
    <t>ΑΡ382290</t>
  </si>
  <si>
    <t>ΜΑΡΚΑΝΤΩΝΗΣ</t>
  </si>
  <si>
    <t>ΑΗ944852</t>
  </si>
  <si>
    <t>ΣΟΡΟΒΙΓΚΑ</t>
  </si>
  <si>
    <t>ΑΖ233612</t>
  </si>
  <si>
    <t>ΣΦΗΝΑΡΟΛΑΚΗ</t>
  </si>
  <si>
    <t>ΑΙ970164</t>
  </si>
  <si>
    <t>ΜΑΚΡΥΠΙΔΗΣ</t>
  </si>
  <si>
    <t>ΑΡ306408</t>
  </si>
  <si>
    <t>ΑΝΔΡΙΑΝΑΚΗΣ</t>
  </si>
  <si>
    <t>ΑΜ756473</t>
  </si>
  <si>
    <t>ΝΤΖΕΛΙΑΣ</t>
  </si>
  <si>
    <t>ΑΝ095893</t>
  </si>
  <si>
    <t>ΚΩΝΣΤΑΝΤΙΝΟΥ</t>
  </si>
  <si>
    <t>ΑΗ251933</t>
  </si>
  <si>
    <t>ΜΟΥΤΖΟΥΡΗ</t>
  </si>
  <si>
    <t>ΑΗ932943</t>
  </si>
  <si>
    <t>ΧΑΡΑΜΗΣ</t>
  </si>
  <si>
    <t>ΑΙ326119</t>
  </si>
  <si>
    <t>ΒΑΓΙΑ</t>
  </si>
  <si>
    <t>ΚΥΡΑΤΖΟΥΛΗ</t>
  </si>
  <si>
    <t>ΑΜ367241</t>
  </si>
  <si>
    <t>ΝΤΑΜΟΤΣΙΔΗ</t>
  </si>
  <si>
    <t>ΑΑ492271</t>
  </si>
  <si>
    <t>ΣΤΕΡΓΙΑΝΟΥ</t>
  </si>
  <si>
    <t>ΑΙ477045</t>
  </si>
  <si>
    <t>ΚΑΣΤΗΣ</t>
  </si>
  <si>
    <t>ΑΝ009843</t>
  </si>
  <si>
    <t>ΕΥΘΑΛΙΑ</t>
  </si>
  <si>
    <t>ΑΜ391569</t>
  </si>
  <si>
    <t>ΑΕ300052</t>
  </si>
  <si>
    <t>ΑΟ960503</t>
  </si>
  <si>
    <t>ΑΚ921073</t>
  </si>
  <si>
    <t>ΚΕΝΤΕΛΛΑ</t>
  </si>
  <si>
    <t>ΑΗ872577</t>
  </si>
  <si>
    <t>ΚΑΤΡΑΝΑ</t>
  </si>
  <si>
    <t>AM 379680</t>
  </si>
  <si>
    <t>ΑΛΕΜΟΥ</t>
  </si>
  <si>
    <t>ΑΜ823609</t>
  </si>
  <si>
    <t>ΤΟΓΙΑΣ</t>
  </si>
  <si>
    <t>ΑΚ134374</t>
  </si>
  <si>
    <t>ΝΕΚΤΑΡΙΑ ΕΙΡΗΝΗ</t>
  </si>
  <si>
    <t>ΑΙ219171</t>
  </si>
  <si>
    <t>ΤΣΕΠΑΣ</t>
  </si>
  <si>
    <t>ΑΖ221424</t>
  </si>
  <si>
    <t>ΓΚΑΜΠΛΙΩΝΗΣ</t>
  </si>
  <si>
    <t>ΑΝ326889</t>
  </si>
  <si>
    <t>ΑΝΑΣΤΑΣΙΑ - ΔΗΜΗΤΡΑ</t>
  </si>
  <si>
    <t>ΤΡΙΜΑΝΔΥΛΗ</t>
  </si>
  <si>
    <t>ΑΖ610230</t>
  </si>
  <si>
    <t>ΘΕΜΕΛΑΚΗΣ</t>
  </si>
  <si>
    <t>ΑΑ804365</t>
  </si>
  <si>
    <t>ΤΣΙΜΠΙΔΑ</t>
  </si>
  <si>
    <t>ΑΝ201902</t>
  </si>
  <si>
    <t>ΒΟΣΝΑΚΙΔΗΣ</t>
  </si>
  <si>
    <t>ΑΗ921805</t>
  </si>
  <si>
    <t>ΑΖ066257</t>
  </si>
  <si>
    <t>ΙΣΙΔΩΡΟΣ</t>
  </si>
  <si>
    <t>ΜΠΑΚΑΣ</t>
  </si>
  <si>
    <t>ΑΒ179187</t>
  </si>
  <si>
    <t>ΓΚΕΦΟΣ</t>
  </si>
  <si>
    <t>ΑΖ763105</t>
  </si>
  <si>
    <t>ΠΟΛΥΖΟΥ</t>
  </si>
  <si>
    <t>ΑΙ224472</t>
  </si>
  <si>
    <t>ΕΛΕΥΘΕΡΙΑ ΕΙΡΗΝΗ</t>
  </si>
  <si>
    <t>ΔΗΜΑΚΟΠΟΥΛΟΥ</t>
  </si>
  <si>
    <t>ΑΙ766975</t>
  </si>
  <si>
    <t>ΒΟΥΡΤΣΑΣ</t>
  </si>
  <si>
    <t>ΑΗ999421</t>
  </si>
  <si>
    <t>ΚΑΡΑΚΩΣΤΑΣ</t>
  </si>
  <si>
    <t>ΑΙ872227</t>
  </si>
  <si>
    <t>ΣΥΜΕΩΝ</t>
  </si>
  <si>
    <t>ΚΕΧΑΓΙΑΣ</t>
  </si>
  <si>
    <t>ΑΒ434079</t>
  </si>
  <si>
    <t>ΜΠΑΚΟΠΟΥΛΟΣ</t>
  </si>
  <si>
    <t>ΑΝ252301</t>
  </si>
  <si>
    <t>ΣΙΣΜΑΝΙΔΗΣ</t>
  </si>
  <si>
    <t>ΑΗ694381</t>
  </si>
  <si>
    <t>ΖΕΡΒΑΚΗ</t>
  </si>
  <si>
    <t>ΑΗ465663</t>
  </si>
  <si>
    <t>ΧΑΡΙΚΛΕΙΑ-ΜΑΡΙΑ</t>
  </si>
  <si>
    <t>ΛΕΚΚΑ</t>
  </si>
  <si>
    <t>ΑΙ784948</t>
  </si>
  <si>
    <t>ΠΑΠΑΡΟΥΝΑΣ</t>
  </si>
  <si>
    <t>ΑΙ284862</t>
  </si>
  <si>
    <t>ΛΑΚΗΣ</t>
  </si>
  <si>
    <t>ΑΒ430238</t>
  </si>
  <si>
    <t>ΧΑΡΙΣΗΣ</t>
  </si>
  <si>
    <t>ΑΜ181757</t>
  </si>
  <si>
    <t>ΚΑΛΙΑΚΟΥΔΑΣ</t>
  </si>
  <si>
    <t>ΑΟ753907</t>
  </si>
  <si>
    <t>ΤΖΙΜΑΣ</t>
  </si>
  <si>
    <t>ΑΗ246088</t>
  </si>
  <si>
    <t>ΠΑΛΥΒΟΣ</t>
  </si>
  <si>
    <t>ΑΑ359236</t>
  </si>
  <si>
    <t>ΑΙ256866</t>
  </si>
  <si>
    <t>ΛΙΟΥΛΗ</t>
  </si>
  <si>
    <t>ΑΚ601058</t>
  </si>
  <si>
    <t>ΑΜ143525</t>
  </si>
  <si>
    <t>ΕΛΕΝΗ ΣΠΥΡΙΔΟΥΛΑ</t>
  </si>
  <si>
    <t>ΑΜ118385</t>
  </si>
  <si>
    <t>ΑΝΔΡΟΜΑΧΗ ΜΑΡΙΑ</t>
  </si>
  <si>
    <t>ΠΑΠΑΖΗΣΗ</t>
  </si>
  <si>
    <t>ΑΗ819823</t>
  </si>
  <si>
    <t>ΜΑΡΙΑ  ΞΕΝΙΑ</t>
  </si>
  <si>
    <t>ΑΝ863281</t>
  </si>
  <si>
    <t>ΜΑΡΙΑ ΠΕΛΑΓΙΑ</t>
  </si>
  <si>
    <t>ΑΙ974498</t>
  </si>
  <si>
    <t>ΠΑΛΑΙΟΛΟΓΟΥ</t>
  </si>
  <si>
    <t>ΑΒ771785</t>
  </si>
  <si>
    <t>ΙΩΑΝΝΑ ΧΡΗΣΤΙΝΑ</t>
  </si>
  <si>
    <t>ΤΣΩΝΗ</t>
  </si>
  <si>
    <t>ΑΜ487837</t>
  </si>
  <si>
    <t>ΕΛΕΝΗ ΜΑΡΙΑ</t>
  </si>
  <si>
    <t>ΓΚΟΥΓΚΟΥΣΤΑΜΟΥ</t>
  </si>
  <si>
    <t>ΑΜ826600</t>
  </si>
  <si>
    <t>ΕΥΑΓΓΕΛΑΚΟΥ</t>
  </si>
  <si>
    <t>ΑΚ415794</t>
  </si>
  <si>
    <t>ΔΗΜΟΚΡΙΤΟΣ</t>
  </si>
  <si>
    <t>ΡΟΒΑΣ</t>
  </si>
  <si>
    <t>AK428308</t>
  </si>
  <si>
    <t>ΑΗ787501</t>
  </si>
  <si>
    <t>ΑΜ786522</t>
  </si>
  <si>
    <t xml:space="preserve">ΔΗΜΗΤΡΙΟΣ </t>
  </si>
  <si>
    <t xml:space="preserve">ΔΗΜΟΣ </t>
  </si>
  <si>
    <t>ΑΚ678012</t>
  </si>
  <si>
    <t>ΑΚ982443</t>
  </si>
  <si>
    <t>ΑΙ266230</t>
  </si>
  <si>
    <t>ΜΟΥΚΑ</t>
  </si>
  <si>
    <t>ΑΗ761463</t>
  </si>
  <si>
    <t>ΠΕΤΕΙΝΑΤΟΥ</t>
  </si>
  <si>
    <t>ΑΜ359816</t>
  </si>
  <si>
    <t>ΚΑΡΥΣΤΙΝΟΥ</t>
  </si>
  <si>
    <t>ΑΗ024959</t>
  </si>
  <si>
    <t>ΓΑΤΣΗ</t>
  </si>
  <si>
    <t>ΑΜ992749</t>
  </si>
  <si>
    <t>ΑΚ279674</t>
  </si>
  <si>
    <t>ΚΑΛΟΠΗΤΑΣ</t>
  </si>
  <si>
    <t>ΑΚ499457</t>
  </si>
  <si>
    <t>ΧΑΙΔΟΓΙΑΝΝΟΥ</t>
  </si>
  <si>
    <t>ΑΙ997609</t>
  </si>
  <si>
    <t>ΧΑΛΚΙΑ</t>
  </si>
  <si>
    <t>ΑΝ 433896</t>
  </si>
  <si>
    <t>ΠΟΥΠΝΑΡΑΣ</t>
  </si>
  <si>
    <t>ΑΜ856345</t>
  </si>
  <si>
    <t>ΚΥΡΙΑΛΑΝΙΔΗΣ</t>
  </si>
  <si>
    <t>ΑΝ780064</t>
  </si>
  <si>
    <t>ΤΣΟΓΚΑΣ</t>
  </si>
  <si>
    <t>ΑΗ655343</t>
  </si>
  <si>
    <t>ΑΡΑΒΑΝΤΙΝΟΣ</t>
  </si>
  <si>
    <t>ΑΒ097646</t>
  </si>
  <si>
    <t>ΜΥΡΙΟΥΝΗΣ</t>
  </si>
  <si>
    <t>ΤΣΟΥΡΗΣ</t>
  </si>
  <si>
    <t>ΑΜ781136</t>
  </si>
  <si>
    <t>ΚΟΚΚΟΛΙΟΥ</t>
  </si>
  <si>
    <t>ΑΚ 797796</t>
  </si>
  <si>
    <t>ΠΑΡΘΕΝΟΠΟΥΛΟΥ</t>
  </si>
  <si>
    <t>Αθανασία</t>
  </si>
  <si>
    <t>ΜΠΑΛΑΦΑ</t>
  </si>
  <si>
    <t>ΑΜ752922</t>
  </si>
  <si>
    <t>ΧΑΡΑΛΑΜΠΑΚΟΥ</t>
  </si>
  <si>
    <t>ΑΟ401370</t>
  </si>
  <si>
    <t xml:space="preserve"> ΝΙΚΟΛΑΟΣ</t>
  </si>
  <si>
    <t>ΑΝΑΣΤΑΣΙΟΥ</t>
  </si>
  <si>
    <t>ΑΑ970774</t>
  </si>
  <si>
    <t>ΤΣΙΟΥΜΑΣ</t>
  </si>
  <si>
    <t>ΑΜ104302</t>
  </si>
  <si>
    <t>ΣΤΑΜΠΟΛΙΤΗ</t>
  </si>
  <si>
    <t>ΑΚ355235</t>
  </si>
  <si>
    <t>ΣΤΡΑΛΗ</t>
  </si>
  <si>
    <t>ΑΒ119409</t>
  </si>
  <si>
    <t>ΜΑΝΩΛΑΣ</t>
  </si>
  <si>
    <t>ΑΜ301997</t>
  </si>
  <si>
    <t>ΓΑΡΙΔΑΣ</t>
  </si>
  <si>
    <t>ΑΟ045019</t>
  </si>
  <si>
    <t>ΚΑΝΤΑΣ</t>
  </si>
  <si>
    <t>ΑΙ980214</t>
  </si>
  <si>
    <t>ΖΗΝΟΒΙΑ</t>
  </si>
  <si>
    <t>ΚΑΛΤΣΩΤΟΥ</t>
  </si>
  <si>
    <t>ΑΜ925924</t>
  </si>
  <si>
    <t>ΜΑΛΕΣΚΟΣ</t>
  </si>
  <si>
    <t>ΑΟ 346469</t>
  </si>
  <si>
    <t>ΑΡ338049</t>
  </si>
  <si>
    <t>ΚΑΤΣΑΡΕΛΙΑΣ</t>
  </si>
  <si>
    <t>ΑΝ804703</t>
  </si>
  <si>
    <t>ΧΡΥΣΟΒΑΛΑΝΤΟΥ</t>
  </si>
  <si>
    <t>ΠΑΠΑΣΤΟΓΙΑΝΝΙΔΟΥ</t>
  </si>
  <si>
    <t>ΑΙ279481</t>
  </si>
  <si>
    <t>ΜΗΤΡΑΓΚΑΣ</t>
  </si>
  <si>
    <t>ΑΗ790922</t>
  </si>
  <si>
    <t>ΛΕΙΒΑΔΙΤΗΣ</t>
  </si>
  <si>
    <t>ΑΖ490558</t>
  </si>
  <si>
    <t>ΤΣΙΡΙΝΤΟΥΛΑΚΗΣ</t>
  </si>
  <si>
    <t>ΑΙ460119</t>
  </si>
  <si>
    <t>ΑΡ019014</t>
  </si>
  <si>
    <t>ΑΖ282357</t>
  </si>
  <si>
    <t>ΛΑΜΑΣ</t>
  </si>
  <si>
    <t>ΑΖ606877</t>
  </si>
  <si>
    <t>ΛΕΣΓΙΔΟΥ</t>
  </si>
  <si>
    <t>ΑΝ348948</t>
  </si>
  <si>
    <t>ΑΜ783822</t>
  </si>
  <si>
    <t>ΚΟΥΣΚΟΥΛΗΣ</t>
  </si>
  <si>
    <t>ΑΙ 822077</t>
  </si>
  <si>
    <t>ΑΓΑΛΙΑΝΟΣ</t>
  </si>
  <si>
    <t>ΑΜ928159</t>
  </si>
  <si>
    <t>ΑΗ242942</t>
  </si>
  <si>
    <t>ΤΣΙΑΜΙΤΑ</t>
  </si>
  <si>
    <t>ΑΖ920672</t>
  </si>
  <si>
    <t>ΑΙΒΑΛΙΩΤΗ</t>
  </si>
  <si>
    <t>ΑΒ126062</t>
  </si>
  <si>
    <t>ΑΡΜΑΓΟΥ</t>
  </si>
  <si>
    <t>ΑΙ298086</t>
  </si>
  <si>
    <t>ΓΙΑΝΝΑΚΗΣ</t>
  </si>
  <si>
    <t>ΑΗ293854</t>
  </si>
  <si>
    <t>ΓΚΙΟΥΜΕ ΔΗΜΗΤΡΑΚΟΠΟΥΛΟΥ</t>
  </si>
  <si>
    <t>ΑΚ994313</t>
  </si>
  <si>
    <t>ΒΑΡΕΛΑΣ</t>
  </si>
  <si>
    <t>ΑΗ313448</t>
  </si>
  <si>
    <t>ΚΕΙΣΟΓΛΟΥ</t>
  </si>
  <si>
    <t>ΑΗ290955</t>
  </si>
  <si>
    <t>ΠΑΠΑΧΑΡΑΛΑΜΠΟΥΣ</t>
  </si>
  <si>
    <t>ΑΝ008883</t>
  </si>
  <si>
    <t>ΚΑΛΑΜΠΟΓΙΑΣ</t>
  </si>
  <si>
    <t>ΑΗ927304</t>
  </si>
  <si>
    <t>ΤΣΑΛΑΣΠΥΡΟΣ</t>
  </si>
  <si>
    <t>ΑΚ391165</t>
  </si>
  <si>
    <t xml:space="preserve">ΠΟΛΥΧΡΟΝΙΔΗΣ  </t>
  </si>
  <si>
    <t>ΑΝΔΡΩΝΗΣ</t>
  </si>
  <si>
    <t>ΑΖ942665</t>
  </si>
  <si>
    <t>ΑΝ356068</t>
  </si>
  <si>
    <t>ΦΑΛΑΡΗΣ</t>
  </si>
  <si>
    <t>ΑΚ499458</t>
  </si>
  <si>
    <t>ΜΑΛΑΠΑΝΗ</t>
  </si>
  <si>
    <t>ΑΟ989171</t>
  </si>
  <si>
    <t>ΑΕ834245</t>
  </si>
  <si>
    <t>ΣΑΛΙΑΚΟΥΡΑ</t>
  </si>
  <si>
    <t>ΑΜ814115</t>
  </si>
  <si>
    <t>ΜΑΓΝΗΣΑΛΗ</t>
  </si>
  <si>
    <t>ΑΟ595178</t>
  </si>
  <si>
    <t>ΑΝ864843</t>
  </si>
  <si>
    <t>ΚΑΨΙΩΧΑ</t>
  </si>
  <si>
    <t>ΑΚ976351</t>
  </si>
  <si>
    <t>Σ6329</t>
  </si>
  <si>
    <t>ΙΩΣΗΦ</t>
  </si>
  <si>
    <t>ΑΛΜΑΛΙΩΤΗΣ</t>
  </si>
  <si>
    <t>ΑΟ328369</t>
  </si>
  <si>
    <t>ΠΟΙΜΕΝΙΔΗΣ</t>
  </si>
  <si>
    <t>ΑΙ327770</t>
  </si>
  <si>
    <t>ΝΟΥΤΣΟΣ</t>
  </si>
  <si>
    <t>ΑΝ294332</t>
  </si>
  <si>
    <t>ΣΜΥΡΗΣ</t>
  </si>
  <si>
    <t>ΑΜ788199</t>
  </si>
  <si>
    <t>ΜΑΣΤΟΡΑ</t>
  </si>
  <si>
    <t>ΑΚ197012</t>
  </si>
  <si>
    <t>ΑΛΒΕΡΤΟΣ ΠΑΝΑΓΙΩΤΗΣ</t>
  </si>
  <si>
    <t>ΛΕΜΟΝΙΔΗΣ</t>
  </si>
  <si>
    <t>ΑΜ281076</t>
  </si>
  <si>
    <t>ΚΑΡΟΦΥΛΛΑΚΗΣ</t>
  </si>
  <si>
    <t>ΑΜ464396</t>
  </si>
  <si>
    <t>ΠΑΝΤΕΛΗ</t>
  </si>
  <si>
    <t>ΓΙΟΥΛΑ</t>
  </si>
  <si>
    <t>ΑΕ494329</t>
  </si>
  <si>
    <t>ΑΟ574921</t>
  </si>
  <si>
    <t>ΚΩΤΟΥΛΑ ΧΑΙΡΕΤΗ</t>
  </si>
  <si>
    <t>ΑΖ964012</t>
  </si>
  <si>
    <t>ΤΣΙΜΠΙΔΑΣ</t>
  </si>
  <si>
    <t>ΑΜ845861</t>
  </si>
  <si>
    <t>ΑΜ350753</t>
  </si>
  <si>
    <t>ΣΑΛΙΑΚΟΥΡΑΣ</t>
  </si>
  <si>
    <t>Σ6958</t>
  </si>
  <si>
    <t>ΡΕΠΠΑ</t>
  </si>
  <si>
    <t>ΑΡ716342</t>
  </si>
  <si>
    <t>ΓΚΙΚΑΣ</t>
  </si>
  <si>
    <t>ΑΜ992296</t>
  </si>
  <si>
    <t>ΠΑΝΤΕΛΕΗΜΩΝ ΓΕΩΡΓΙΟΣ</t>
  </si>
  <si>
    <t>AI936358</t>
  </si>
  <si>
    <t>ΦΙΛΟΣΟΦΟΣ</t>
  </si>
  <si>
    <t>ΑΟ501389</t>
  </si>
  <si>
    <t>ΜΑΡΟΥΛΑΣ</t>
  </si>
  <si>
    <t>ΑΚ436519</t>
  </si>
  <si>
    <t>ΑΓΓΕΛΗ</t>
  </si>
  <si>
    <t>ΑΟ348591</t>
  </si>
  <si>
    <t>ΔΑΡΕΜΑΣ</t>
  </si>
  <si>
    <t>ΑΡ505791</t>
  </si>
  <si>
    <t>ΧΡΥΣΑΦΙΔΗΣ</t>
  </si>
  <si>
    <t>ΑΚ916564</t>
  </si>
  <si>
    <t>ΔΗΜΗΤΡΙΟΣ ΠΑΝΑΓΙΩΤΗΣ</t>
  </si>
  <si>
    <t>ΑΝ823302</t>
  </si>
  <si>
    <t>ΑΜ796234</t>
  </si>
  <si>
    <t>ΑΔΑΜΑΚΗ</t>
  </si>
  <si>
    <t>ΑΗ809957</t>
  </si>
  <si>
    <t>ΧΡΥΣΟΒΙΤΣΙΩΤΗΣ</t>
  </si>
  <si>
    <t>ΑΜ003318</t>
  </si>
  <si>
    <t>ΚΩΣΤΑΣ</t>
  </si>
  <si>
    <t>ΤΣΟΜΠΟΣ</t>
  </si>
  <si>
    <t>ΑΜ084816</t>
  </si>
  <si>
    <t>ΑΖ215480</t>
  </si>
  <si>
    <t>ΑΝ053509</t>
  </si>
  <si>
    <t>ΣΚΑΜΝΙΑ</t>
  </si>
  <si>
    <t>ΑΚ 382142</t>
  </si>
  <si>
    <t>ΑΝ297012</t>
  </si>
  <si>
    <t>ΠΡΩΙΟΣ</t>
  </si>
  <si>
    <t>ΑΜ403099</t>
  </si>
  <si>
    <t>ΓΙΑΤΣΗΣ</t>
  </si>
  <si>
    <t>ΑΒ775732</t>
  </si>
  <si>
    <t>ΓΑΛΑΝΗΣ</t>
  </si>
  <si>
    <t>ΑΜ795171</t>
  </si>
  <si>
    <t>ΜΟΥΚΑΣ</t>
  </si>
  <si>
    <t>ΑΒ855672</t>
  </si>
  <si>
    <t>ΓΕΩΡΓΙΑ - ΜΑΡΙΑ</t>
  </si>
  <si>
    <t>ΑΡ954253</t>
  </si>
  <si>
    <t>ΓΛΥΝΙΑΔΑΚΗ</t>
  </si>
  <si>
    <t>ΑΝ481185</t>
  </si>
  <si>
    <t>ΤΡΑΚΑΣ</t>
  </si>
  <si>
    <t>ΑΙ230024</t>
  </si>
  <si>
    <t>ΙΜΠΑ</t>
  </si>
  <si>
    <t>ΑΚ435710</t>
  </si>
  <si>
    <t>ΑΗ342000</t>
  </si>
  <si>
    <t>ΠΑΝΑΓΙΩΤΗΣ ΔΗΜΗΤΡΙΟΣ</t>
  </si>
  <si>
    <t>ΑΝ794813</t>
  </si>
  <si>
    <t>AH305345</t>
  </si>
  <si>
    <t>ΚΑΝΤΟΥΤΣΗΣ</t>
  </si>
  <si>
    <t>ΑΕ262822</t>
  </si>
  <si>
    <t>ΣΟΥΤΑΣ</t>
  </si>
  <si>
    <t>ΑΚ755473</t>
  </si>
  <si>
    <t>ΒΡΑΝΤΣΗΣ</t>
  </si>
  <si>
    <t>ΑΜ404058</t>
  </si>
  <si>
    <t>ΜΗΛΙΟΥ</t>
  </si>
  <si>
    <t>ΑΙ352488</t>
  </si>
  <si>
    <t>ΓΕΩΡΓΟΥΛΗ</t>
  </si>
  <si>
    <t>ΑΕ795081</t>
  </si>
  <si>
    <t>ΤΥΡΑΔΕΛΛΗ</t>
  </si>
  <si>
    <t>ΑΗ929136</t>
  </si>
  <si>
    <t>ΑΚ428221</t>
  </si>
  <si>
    <t>ΧΡΟΝΟΠΟΥΛΟΥ</t>
  </si>
  <si>
    <t>ΑΚ549932</t>
  </si>
  <si>
    <t>ΛΑΒΔΑΙΟΣ</t>
  </si>
  <si>
    <t>ΑΟ553001</t>
  </si>
  <si>
    <t>ΠΕΚΙΑΡΙΔΗΣ</t>
  </si>
  <si>
    <t>ΑΜ852761</t>
  </si>
  <si>
    <t>Α00100921</t>
  </si>
  <si>
    <t>ΤΣΙΑΝΑΚΑΣ</t>
  </si>
  <si>
    <t>ΑΖ784164</t>
  </si>
  <si>
    <t xml:space="preserve">ΜΑΡΙΑ </t>
  </si>
  <si>
    <t>ΠΙΡΙΤΖΑΟΥΣ</t>
  </si>
  <si>
    <t>ΑΗ792457</t>
  </si>
  <si>
    <t>ΚΩΝΣΤΑΝΤΙΝΑ-ΕΥΑΓΓΕΛΙΑ</t>
  </si>
  <si>
    <t>ΔΗΜΟΠΟΥΛΟΥ</t>
  </si>
  <si>
    <t>ΑΒ403718</t>
  </si>
  <si>
    <t>ΑΣΦΗΣ</t>
  </si>
  <si>
    <t>ΑΝ092810</t>
  </si>
  <si>
    <t>ΦΟΥΝΤΑΣ</t>
  </si>
  <si>
    <t>ΑΝ793811</t>
  </si>
  <si>
    <t>ΚΑΡΔΑΜΠΙΚΗΣ</t>
  </si>
  <si>
    <t>ΑΗ999920</t>
  </si>
  <si>
    <t>ΑΖ584053</t>
  </si>
  <si>
    <t>ΔΑΡΓΙΝΙΔΗΣ</t>
  </si>
  <si>
    <t>ΜΑΝΤΟΠΟΥΛΟΥ</t>
  </si>
  <si>
    <t>ΑΜ402484</t>
  </si>
  <si>
    <t>ΓΑΡΕΔΑΚΗΣ</t>
  </si>
  <si>
    <t>ΑΙ463476</t>
  </si>
  <si>
    <t>ΡΟΚΟΜΑ</t>
  </si>
  <si>
    <t>ΑΚ833872</t>
  </si>
  <si>
    <t>ΧΑΙΝΤΟΥΤΗΣ</t>
  </si>
  <si>
    <t>ΑΜ687753</t>
  </si>
  <si>
    <t>ΚΑΤΣΑΡΑ</t>
  </si>
  <si>
    <t>ΑΖ806749</t>
  </si>
  <si>
    <t>ΑΒ858787</t>
  </si>
  <si>
    <t>ΒΟΥΛΙΩΤΗΣ</t>
  </si>
  <si>
    <t>ΑΤ419887</t>
  </si>
  <si>
    <t>ΠΑΠΑΛΕΞΟΠΟΥΛΟΥ</t>
  </si>
  <si>
    <t>ΑΙ750650</t>
  </si>
  <si>
    <t>ΜΑΡΙΓΟΥΛΑ</t>
  </si>
  <si>
    <t>ΤΖΙΩΤΗ ΚΑΡΠΟΥΖΑ</t>
  </si>
  <si>
    <t>ΑΖ941931</t>
  </si>
  <si>
    <t>ΒΛΑΜΗΣ</t>
  </si>
  <si>
    <t>ΑΒ473745</t>
  </si>
  <si>
    <t>ΚΑΡΑΚΑΣΙΔΟΥ</t>
  </si>
  <si>
    <t>ΑΤ4163198</t>
  </si>
  <si>
    <t>ΑΝ355861</t>
  </si>
  <si>
    <t>ΑΡ633993</t>
  </si>
  <si>
    <t>ΑΛΕΞΑΝΔΡΑΤΟΥ</t>
  </si>
  <si>
    <t>ΑΒ513112</t>
  </si>
  <si>
    <t>ΛΑΜΠΑΔΑΚΗ</t>
  </si>
  <si>
    <t>ΑΖ063571</t>
  </si>
  <si>
    <t>ΑΜ821742</t>
  </si>
  <si>
    <t>ΦΛΩΤΣΙΟΥ</t>
  </si>
  <si>
    <t>ΑΚ394319</t>
  </si>
  <si>
    <t>ΑΗ826563</t>
  </si>
  <si>
    <t>ΚΑΛΟΜΟΙΡΟΣ</t>
  </si>
  <si>
    <t>ΑΜ451803</t>
  </si>
  <si>
    <t>ΚΩΝΣΤΑΝΤΟΠΟΥΛΟΥ</t>
  </si>
  <si>
    <t>ΑΚ350236</t>
  </si>
  <si>
    <t>ΜΠΙΑΛΑΣ</t>
  </si>
  <si>
    <t>ΑΙ352784</t>
  </si>
  <si>
    <t>Α000364103</t>
  </si>
  <si>
    <t>ΑΚ492315</t>
  </si>
  <si>
    <t>ΘΕΟΦΑΝΑΚΗΣ</t>
  </si>
  <si>
    <t>ΑΥ2198326</t>
  </si>
  <si>
    <t>ΜΑΓΔΑΛΗΝΟΣ</t>
  </si>
  <si>
    <t>ΑΖ758991</t>
  </si>
  <si>
    <t>ΚΥΡΙΑΚΙΔΗ</t>
  </si>
  <si>
    <t>ΑΖ455004</t>
  </si>
  <si>
    <t>ΛΕΥΚΟΘΕΑ</t>
  </si>
  <si>
    <t>ΡΑΠΤΗ</t>
  </si>
  <si>
    <t>ΑΗ242294</t>
  </si>
  <si>
    <t>ΑΝ316487</t>
  </si>
  <si>
    <t>ΚΩΝΣΤΑΝΤΙΝΟΣ ΗΛΙΑΣ</t>
  </si>
  <si>
    <t>ΠΑΝΤΑΓΑΚΗΣ</t>
  </si>
  <si>
    <t>ΑΜ461697</t>
  </si>
  <si>
    <t>ΜΑΤΟΣΙΑΝ</t>
  </si>
  <si>
    <t>ΑΗ827762</t>
  </si>
  <si>
    <t>ΑΙ901588</t>
  </si>
  <si>
    <t>ΜΑΚΟΥ</t>
  </si>
  <si>
    <t>ΑΚ376411</t>
  </si>
  <si>
    <t>ΤΖΟΥΜΕΛΕΚΑ</t>
  </si>
  <si>
    <t>ΑΜ794300</t>
  </si>
  <si>
    <t>ΠΑΠΑΚΟΣΜΑ</t>
  </si>
  <si>
    <t>ΑΜ790723</t>
  </si>
  <si>
    <t>ΚΑΠΡΗΣ</t>
  </si>
  <si>
    <t>ΜΑΤΣΙΟΥΛΑ</t>
  </si>
  <si>
    <t>ΑΜ325205</t>
  </si>
  <si>
    <t>ΚΙΤΣΟΠΟΥΛΟΥ</t>
  </si>
  <si>
    <t>ΑΕ845568</t>
  </si>
  <si>
    <t>ΒΕΣΕΞΙΔΗΣ</t>
  </si>
  <si>
    <t>ΑΖ363291</t>
  </si>
  <si>
    <t>ΓΚΟΥΛΑΞΙΔΗΣ</t>
  </si>
  <si>
    <t>ΑΗ831524</t>
  </si>
  <si>
    <t>ΡΟΥΣΗΣ</t>
  </si>
  <si>
    <t>ΑΡ632757</t>
  </si>
  <si>
    <t>ΦΙΛΑΝΔΡΙΑΝΟΥ</t>
  </si>
  <si>
    <t>ΑΖ231448</t>
  </si>
  <si>
    <t>ΒΟΥΝΟΤΡΟΠΙΔΟΥ</t>
  </si>
  <si>
    <t>ΑΜ906024</t>
  </si>
  <si>
    <t>ΔΟΝΤΙΔΗΣ</t>
  </si>
  <si>
    <t>ΑΕ688410</t>
  </si>
  <si>
    <t>ΚΟΥΣΤΕΝΗΣ</t>
  </si>
  <si>
    <t>ΑΜ326330</t>
  </si>
  <si>
    <t>ΚΟΣΣΥΒΑΣ</t>
  </si>
  <si>
    <t>ΑΡ466296</t>
  </si>
  <si>
    <t>ΑΜ14107</t>
  </si>
  <si>
    <t>ΓΚΟΝΤΟΣ</t>
  </si>
  <si>
    <t>ΑΑ381474</t>
  </si>
  <si>
    <t>ΓΚΑΡΕΤΣΟΥ</t>
  </si>
  <si>
    <t>ΑΙ569309</t>
  </si>
  <si>
    <t>ΔΑΝΑΚΗ</t>
  </si>
  <si>
    <t>ΑΕ920784</t>
  </si>
  <si>
    <t>ΠΛΑΤΗΣ</t>
  </si>
  <si>
    <t>ΜΑΡΙΑΝΘΗ</t>
  </si>
  <si>
    <t>ΒΑΚΚΑ</t>
  </si>
  <si>
    <t>ΑΚ386952</t>
  </si>
  <si>
    <t>ΚΟΥΤΣΟΓΙΑΝΝΗ</t>
  </si>
  <si>
    <t>ΑΙ339115</t>
  </si>
  <si>
    <t>ΜΕΤΑΛΛΙΔΗΣ</t>
  </si>
  <si>
    <t>Α00351098</t>
  </si>
  <si>
    <t>ΓΕΩΡΓΙΟΣ ΑΓΓΕΛΟΣ</t>
  </si>
  <si>
    <t>ΚΟΥΡΣΟΠΟΥΛΟΣ</t>
  </si>
  <si>
    <t>ΑΒ012240</t>
  </si>
  <si>
    <t>ΠΑΝΤΕΛΑΤΟΣ</t>
  </si>
  <si>
    <t>ΑΗ698229</t>
  </si>
  <si>
    <t>ΔΑΦΝΗ</t>
  </si>
  <si>
    <t>ΠΑΤΑ</t>
  </si>
  <si>
    <t>ΑΙ319378</t>
  </si>
  <si>
    <t>ΠΑΤΡΩΝΥΜΟ</t>
  </si>
  <si>
    <t>Χρήστος</t>
  </si>
  <si>
    <t>ΛΑΝΤΙ</t>
  </si>
  <si>
    <t>ΔΙΑΛΕΧΤΟΣ</t>
  </si>
  <si>
    <t>ΚΛΕΟΒΟΥΛΟΣ</t>
  </si>
  <si>
    <t>ΑΛΚΙΒΙΑΔΗΣ</t>
  </si>
  <si>
    <t>ΑΡΙΣΤΟΤΕΛΗΣ</t>
  </si>
  <si>
    <t>ΜΑΝΟΥΣΟΣ</t>
  </si>
  <si>
    <t>ΡΑΜΖΑΝ</t>
  </si>
  <si>
    <t>ΕΥΓΕΝΙΟΣ</t>
  </si>
  <si>
    <t>ΡΟΜΙΚ</t>
  </si>
  <si>
    <t xml:space="preserve">ΣΠΥΡΙΔΩΝ </t>
  </si>
  <si>
    <t>ΑΝΘΙΜΟΣ</t>
  </si>
  <si>
    <t>ΑΛΕΞΑΝΤΡ</t>
  </si>
  <si>
    <t>Ιωάννης</t>
  </si>
  <si>
    <t>ΣΩΤΗΡΙΟΣ ΝΙΚΗΤΑΣ</t>
  </si>
  <si>
    <t xml:space="preserve">Παναγιώτης </t>
  </si>
  <si>
    <t>ΚΑΛΛΟΥΔΗΣ</t>
  </si>
  <si>
    <t>ΑΝΤΩΝΙΟΣ ΝΕΚΤΑΡΙΟΣ</t>
  </si>
  <si>
    <t>ΑΝΑΡΓΥΡΟΣ</t>
  </si>
  <si>
    <t>ΣΕΡΓΚΙ</t>
  </si>
  <si>
    <t>ΜΗΛΙΟΣ</t>
  </si>
  <si>
    <t>ΜΑΚΑΡΙΟΣ</t>
  </si>
  <si>
    <t>ΣΟΦΙΑΝΟΣ</t>
  </si>
  <si>
    <t>ΣΙΜΟ</t>
  </si>
  <si>
    <t>ΘΕΜΙΣΤΟΚΛΗΣ</t>
  </si>
  <si>
    <t>ΠΡΟΔΡΟΜΟΣ</t>
  </si>
  <si>
    <t>ΑΓΑΘΟΚΛΗΣ</t>
  </si>
  <si>
    <t>ΖΑΦΕΙΡΙΟΣ</t>
  </si>
  <si>
    <t>ΤΡΙΑΝΑΤΑΦΥΛΛΟΣ</t>
  </si>
  <si>
    <t>ΝΑΠΟΛΕΩΝ</t>
  </si>
  <si>
    <t>ΑΣΗΜΑΚΗΣ</t>
  </si>
  <si>
    <t>ΣΟΛΩΝ</t>
  </si>
  <si>
    <t>ΝΙΣΚΕ</t>
  </si>
  <si>
    <t>ΜΑΤΘΑΙΟΣ</t>
  </si>
  <si>
    <t>ΣΤΕΦΑΝΟΣ ΕΜΜΑΝΟΥΗΛ</t>
  </si>
  <si>
    <t>Γεώργιος</t>
  </si>
  <si>
    <t xml:space="preserve">ΙΩΑΝΝΗΣ </t>
  </si>
  <si>
    <t>ΕΝΤΜΟΝΤ</t>
  </si>
  <si>
    <t>ΧΑΛΕΝΤ</t>
  </si>
  <si>
    <t>ΣΠΥΡΟΝΙΚΟΛΑΣ</t>
  </si>
  <si>
    <t>ΝΕΣΤΩΡΑΣ</t>
  </si>
  <si>
    <t>ΠΕΤΡΟ</t>
  </si>
  <si>
    <t>Νικόλαος</t>
  </si>
  <si>
    <t>ΚΩΣΤΑΝΤΙΝΟΣ</t>
  </si>
  <si>
    <t>ΜΠΑΣΙΡ</t>
  </si>
  <si>
    <t>ΤΑΜΑΖΙ</t>
  </si>
  <si>
    <t>ΒΑΣΙΛΕΙΟΣ ΓΕΡΑΣΙΜΟΣ</t>
  </si>
  <si>
    <t>Δημήτριος</t>
  </si>
  <si>
    <t>ΓΚΑΜΑΛ</t>
  </si>
  <si>
    <t>ΠΑΡΑΣΚΕΥΑΣ-ΠΑΝΑΓΙΩΤΗΣ</t>
  </si>
  <si>
    <t>Κωνσταντίνος</t>
  </si>
  <si>
    <t>ΧΡΥΣΑΦΟΣ</t>
  </si>
  <si>
    <t>ΙΣΑΜ</t>
  </si>
  <si>
    <t>ΤΡΥΦΩΝ</t>
  </si>
  <si>
    <t>ΝΙΚΗΦΟΡΟΣ</t>
  </si>
  <si>
    <t>ΜΟΔΕΣΤΟΣ</t>
  </si>
  <si>
    <t>ΔΙΟΜΗΔΗΣ</t>
  </si>
  <si>
    <t>ΑΡΗΣ</t>
  </si>
  <si>
    <t>ΑΝΤΩΝΗΣ</t>
  </si>
  <si>
    <t>ΧΑΡΙΣΙΟΣ</t>
  </si>
  <si>
    <t>ΚΩNΣΤΑΝΤΙΝΟΣ</t>
  </si>
  <si>
    <t>ΦΡΑΓΚΙΣΚΟΣ</t>
  </si>
  <si>
    <t>ΧΑΣΑΝ</t>
  </si>
  <si>
    <t>ΜΑΡΙΝΟΣ ΤΣΑΜΠΙΚΟΣ</t>
  </si>
  <si>
    <t>Λαμπρος</t>
  </si>
  <si>
    <t>ΧΡΗΤΟΣ</t>
  </si>
  <si>
    <t>ΝΑΟΥΜ</t>
  </si>
  <si>
    <t>ΙΕΡΟΘΕΟΣ</t>
  </si>
  <si>
    <t>ΦΗΓΚΡΕΤ</t>
  </si>
  <si>
    <t>ΙΛΜΑΡ</t>
  </si>
  <si>
    <t>ΑΖΙΖ ΒΑΣΙΛΕΙΟΣ</t>
  </si>
  <si>
    <t>ΠΟΛΥΚΑΡΠΟΣ</t>
  </si>
  <si>
    <t>ΑΓΓΕΛΕΤΟΣ</t>
  </si>
  <si>
    <t>ΘΑΝΑΣ</t>
  </si>
  <si>
    <t>ΑΛΕΚΟΣ</t>
  </si>
  <si>
    <t>ΕΛΕΥΘΕΡΙΟΣ ΘΕΟΦΙΛΟΣ</t>
  </si>
  <si>
    <t>ΕΥΡΙΒΙΑΔΗΣ</t>
  </si>
  <si>
    <t>ΣΑΜΨΩΝ</t>
  </si>
  <si>
    <t>ΖΗΣΟΣ</t>
  </si>
  <si>
    <t xml:space="preserve">Γεώργιος </t>
  </si>
  <si>
    <t>ΙΒΑΝ</t>
  </si>
  <si>
    <t>ΒΑΣΙΛ</t>
  </si>
  <si>
    <t>ΚΡΕΩΝ</t>
  </si>
  <si>
    <t xml:space="preserve">Νικόλαος </t>
  </si>
  <si>
    <t>ΘΡΑΣΥΒΟΥΛΟΣ</t>
  </si>
  <si>
    <t>ΖΗΣΗΣ</t>
  </si>
  <si>
    <t>ΠΑΝΟΖΩΗΣ</t>
  </si>
  <si>
    <t>ΠΑΛΑΙΟΛΟΓΟΣ</t>
  </si>
  <si>
    <t>ΑΛΙ</t>
  </si>
  <si>
    <t>ΘΕΟΔΟΣΙΟΣ</t>
  </si>
  <si>
    <t>ΟΥΣΕΙΝ</t>
  </si>
  <si>
    <t>ΖΑΧΑΡΙΑΣ</t>
  </si>
  <si>
    <t>ΚΩΝΣΤΑΝΤΙΝΟΣ ΧΡΗΣΤΟΣ</t>
  </si>
  <si>
    <t>ΝΕΣΤΟΡΑΣ</t>
  </si>
  <si>
    <t>ΤΡΑΙΑΝΟΣ</t>
  </si>
  <si>
    <t>ΚΥΠΑΡΙΣΣΗΣ</t>
  </si>
  <si>
    <t>ΒΗΣΣΑΡΙΟΣ</t>
  </si>
  <si>
    <t>AΘΑΝΑΣΙΟΣ</t>
  </si>
  <si>
    <t>ΠΑΡΑΣΧΟΣ</t>
  </si>
  <si>
    <t>Βασίλειος</t>
  </si>
  <si>
    <t>Ευστάθιος</t>
  </si>
  <si>
    <t>ΜΠΟΥΓΙΑΡ</t>
  </si>
  <si>
    <t>ΠΑΝΟΣ</t>
  </si>
  <si>
    <t>ΒΙΤΑΛΙΕ</t>
  </si>
  <si>
    <t>ΚΙΜΩΝ</t>
  </si>
  <si>
    <t>ΧΡΟΝΗΣ</t>
  </si>
  <si>
    <t xml:space="preserve">Κωνσταντίνος </t>
  </si>
  <si>
    <t>ΔΟΥΞ ΣΤΥΛΙΑΝΟΣ</t>
  </si>
  <si>
    <t>ΗΡΑΚΛΕΙΟΣ</t>
  </si>
  <si>
    <t>ΛΟΥΚΑΣ</t>
  </si>
  <si>
    <t>ΙΣΛΑΜ</t>
  </si>
  <si>
    <t>ΑΓΓΕΛΟΣ ΔΙΟΝΥΣΙΟΣ</t>
  </si>
  <si>
    <t>ΜΑΡΚ</t>
  </si>
  <si>
    <t>ΠΟΛΥΖΩΗΣ</t>
  </si>
  <si>
    <t>ΕΔΙΣΟΝ</t>
  </si>
  <si>
    <t xml:space="preserve">ΗΡΑΚΛΗΣ </t>
  </si>
  <si>
    <t>ΣΙΜΟΣ</t>
  </si>
  <si>
    <t>ΘΕΟΔΩΡΟΣ ΦΩΤΙΟΣ</t>
  </si>
  <si>
    <t>ΑΡΙΣΤΟΜΕΝΗΣ</t>
  </si>
  <si>
    <t>ΔΑΝΙΗΛ</t>
  </si>
  <si>
    <t>ΓΡΗΓΟΡΙΟΣ ΣΠΥΡΙΔΩΝ</t>
  </si>
  <si>
    <t xml:space="preserve">ΑΝΤΩΝΗΣ </t>
  </si>
  <si>
    <t>ΓΚΟΥΡΑΜ</t>
  </si>
  <si>
    <t>ΝΤΡΙΤΑΝ</t>
  </si>
  <si>
    <t>Κωνσταντινος</t>
  </si>
  <si>
    <t>ΣΤΑΥΡΟΚΩΝΣΤΑΝΤΙΝΟΣ</t>
  </si>
  <si>
    <t>ΘΕΟΔΩΡΟΣ ΑΛΕΞΑΝΔΡΟΣ</t>
  </si>
  <si>
    <t>ΑΝΑΤΟΛΙΟΣ</t>
  </si>
  <si>
    <t>Α.Π.</t>
  </si>
  <si>
    <t xml:space="preserve">ΝΙΚΟΛΑΟΣ </t>
  </si>
  <si>
    <t>ΤΗΛΕΜΑΧΟΣ</t>
  </si>
  <si>
    <t>ΙΣΑΑΚ</t>
  </si>
  <si>
    <t>ΝΙΚΟΛΑΟΣ ΑΝΤΩΝΙΟΣ</t>
  </si>
  <si>
    <t>ΧΡΙΣΤΟΔΟΥΛΟΣ</t>
  </si>
  <si>
    <t xml:space="preserve">ΓΡΗΓΟΡΙΟΣ </t>
  </si>
  <si>
    <t>ΣΕΡΓΚΕΙ</t>
  </si>
  <si>
    <t>ΑΡΣΕΝΙΟΣ</t>
  </si>
  <si>
    <t>ΜΕΤΑ</t>
  </si>
  <si>
    <t>ΖΩΡΖ</t>
  </si>
  <si>
    <t>ΦΡΑΝΣΟΥΑ</t>
  </si>
  <si>
    <t>A/A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</si>
</sst>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2"/>
  <sheetViews>
    <sheetView tabSelected="1" zoomScale="106" zoomScaleNormal="106" workbookViewId="0"/>
  </sheetViews>
  <sheetFormatPr defaultRowHeight="15" x14ac:dyDescent="0.25"/>
  <cols>
    <col min="1" max="1" width="6.85546875" style="1" customWidth="1"/>
    <col min="2" max="2" width="11.140625" style="1" customWidth="1"/>
    <col min="3" max="3" width="18.7109375" style="6" customWidth="1"/>
    <col min="4" max="4" width="23.28515625" style="6" customWidth="1"/>
    <col min="5" max="5" width="22.5703125" style="6" customWidth="1"/>
    <col min="6" max="6" width="10.28515625" style="1" customWidth="1"/>
    <col min="7" max="7" width="23" style="1" bestFit="1" customWidth="1"/>
  </cols>
  <sheetData>
    <row r="1" spans="1:7" x14ac:dyDescent="0.25">
      <c r="A1" s="2" t="s">
        <v>4925</v>
      </c>
      <c r="B1" s="2" t="s">
        <v>3</v>
      </c>
      <c r="C1" s="4" t="s">
        <v>1</v>
      </c>
      <c r="D1" s="4" t="s">
        <v>0</v>
      </c>
      <c r="E1" s="4" t="s">
        <v>4784</v>
      </c>
      <c r="F1" s="2" t="s">
        <v>2</v>
      </c>
      <c r="G1" s="2" t="s">
        <v>4</v>
      </c>
    </row>
    <row r="2" spans="1:7" x14ac:dyDescent="0.25">
      <c r="A2" s="2">
        <v>1</v>
      </c>
      <c r="B2" s="3">
        <v>36</v>
      </c>
      <c r="C2" s="5" t="s">
        <v>2012</v>
      </c>
      <c r="D2" s="5" t="s">
        <v>2011</v>
      </c>
      <c r="E2" s="5" t="s">
        <v>94</v>
      </c>
      <c r="F2" s="3" t="s">
        <v>2013</v>
      </c>
      <c r="G2" s="3" t="str">
        <f>"00539338"</f>
        <v>00539338</v>
      </c>
    </row>
    <row r="3" spans="1:7" x14ac:dyDescent="0.25">
      <c r="A3" s="2">
        <v>2</v>
      </c>
      <c r="B3" s="3">
        <v>3996</v>
      </c>
      <c r="C3" s="5" t="s">
        <v>472</v>
      </c>
      <c r="D3" s="5" t="s">
        <v>135</v>
      </c>
      <c r="E3" s="5" t="s">
        <v>844</v>
      </c>
      <c r="F3" s="3" t="s">
        <v>473</v>
      </c>
      <c r="G3" s="3" t="str">
        <f>"201502002438"</f>
        <v>201502002438</v>
      </c>
    </row>
    <row r="4" spans="1:7" x14ac:dyDescent="0.25">
      <c r="A4" s="2">
        <v>3</v>
      </c>
      <c r="B4" s="3">
        <v>8970</v>
      </c>
      <c r="C4" s="5" t="s">
        <v>472</v>
      </c>
      <c r="D4" s="5" t="s">
        <v>2204</v>
      </c>
      <c r="E4" s="5" t="s">
        <v>113</v>
      </c>
      <c r="F4" s="3" t="s">
        <v>2205</v>
      </c>
      <c r="G4" s="3" t="str">
        <f>"00986570"</f>
        <v>00986570</v>
      </c>
    </row>
    <row r="5" spans="1:7" x14ac:dyDescent="0.25">
      <c r="A5" s="2">
        <v>4</v>
      </c>
      <c r="B5" s="3">
        <v>5084</v>
      </c>
      <c r="C5" s="5" t="s">
        <v>472</v>
      </c>
      <c r="D5" s="5" t="s">
        <v>5</v>
      </c>
      <c r="E5" s="5" t="s">
        <v>52</v>
      </c>
      <c r="F5" s="3" t="s">
        <v>4049</v>
      </c>
      <c r="G5" s="3" t="str">
        <f>"01011261"</f>
        <v>01011261</v>
      </c>
    </row>
    <row r="6" spans="1:7" x14ac:dyDescent="0.25">
      <c r="A6" s="2">
        <v>5</v>
      </c>
      <c r="B6" s="3">
        <v>5816</v>
      </c>
      <c r="C6" s="5" t="s">
        <v>549</v>
      </c>
      <c r="D6" s="5" t="s">
        <v>548</v>
      </c>
      <c r="E6" s="5" t="s">
        <v>14</v>
      </c>
      <c r="F6" s="3" t="s">
        <v>550</v>
      </c>
      <c r="G6" s="3" t="str">
        <f>"00542672"</f>
        <v>00542672</v>
      </c>
    </row>
    <row r="7" spans="1:7" x14ac:dyDescent="0.25">
      <c r="A7" s="2">
        <v>6</v>
      </c>
      <c r="B7" s="3">
        <v>11062</v>
      </c>
      <c r="C7" s="5" t="s">
        <v>4524</v>
      </c>
      <c r="D7" s="5" t="s">
        <v>87</v>
      </c>
      <c r="E7" s="5" t="s">
        <v>52</v>
      </c>
      <c r="F7" s="3" t="s">
        <v>4525</v>
      </c>
      <c r="G7" s="3" t="str">
        <f>"01017428"</f>
        <v>01017428</v>
      </c>
    </row>
    <row r="8" spans="1:7" x14ac:dyDescent="0.25">
      <c r="A8" s="2">
        <v>7</v>
      </c>
      <c r="B8" s="3">
        <v>5674</v>
      </c>
      <c r="C8" s="5" t="s">
        <v>3600</v>
      </c>
      <c r="D8" s="5" t="s">
        <v>2022</v>
      </c>
      <c r="E8" s="5" t="s">
        <v>284</v>
      </c>
      <c r="F8" s="3" t="s">
        <v>3601</v>
      </c>
      <c r="G8" s="3" t="str">
        <f>"00499328"</f>
        <v>00499328</v>
      </c>
    </row>
    <row r="9" spans="1:7" x14ac:dyDescent="0.25">
      <c r="A9" s="2">
        <v>8</v>
      </c>
      <c r="B9" s="3">
        <v>820</v>
      </c>
      <c r="C9" s="5" t="s">
        <v>3905</v>
      </c>
      <c r="D9" s="5" t="s">
        <v>87</v>
      </c>
      <c r="E9" s="5" t="s">
        <v>3509</v>
      </c>
      <c r="F9" s="3" t="s">
        <v>3906</v>
      </c>
      <c r="G9" s="3" t="str">
        <f>"01012466"</f>
        <v>01012466</v>
      </c>
    </row>
    <row r="10" spans="1:7" x14ac:dyDescent="0.25">
      <c r="A10" s="2">
        <v>9</v>
      </c>
      <c r="B10" s="3">
        <v>7848</v>
      </c>
      <c r="C10" s="5" t="s">
        <v>3460</v>
      </c>
      <c r="D10" s="5" t="s">
        <v>1230</v>
      </c>
      <c r="E10" s="5" t="s">
        <v>4880</v>
      </c>
      <c r="F10" s="3" t="s">
        <v>3461</v>
      </c>
      <c r="G10" s="3" t="str">
        <f>"00890059"</f>
        <v>00890059</v>
      </c>
    </row>
    <row r="11" spans="1:7" x14ac:dyDescent="0.25">
      <c r="A11" s="2">
        <v>10</v>
      </c>
      <c r="B11" s="3">
        <v>2902</v>
      </c>
      <c r="C11" s="5" t="s">
        <v>4601</v>
      </c>
      <c r="D11" s="5" t="s">
        <v>2061</v>
      </c>
      <c r="E11" s="5" t="s">
        <v>129</v>
      </c>
      <c r="F11" s="3" t="s">
        <v>4602</v>
      </c>
      <c r="G11" s="3" t="str">
        <f>"00796905"</f>
        <v>00796905</v>
      </c>
    </row>
    <row r="12" spans="1:7" x14ac:dyDescent="0.25">
      <c r="A12" s="2">
        <v>11</v>
      </c>
      <c r="B12" s="3">
        <v>12355</v>
      </c>
      <c r="C12" s="5" t="s">
        <v>4601</v>
      </c>
      <c r="D12" s="5" t="s">
        <v>2306</v>
      </c>
      <c r="E12" s="5" t="s">
        <v>2020</v>
      </c>
      <c r="F12" s="3" t="s">
        <v>4618</v>
      </c>
      <c r="G12" s="3" t="str">
        <f>"01017204"</f>
        <v>01017204</v>
      </c>
    </row>
    <row r="13" spans="1:7" x14ac:dyDescent="0.25">
      <c r="A13" s="2">
        <v>12</v>
      </c>
      <c r="B13" s="3">
        <v>2799</v>
      </c>
      <c r="C13" s="5" t="s">
        <v>2628</v>
      </c>
      <c r="D13" s="5" t="s">
        <v>52</v>
      </c>
      <c r="E13" s="5" t="s">
        <v>32</v>
      </c>
      <c r="F13" s="3" t="s">
        <v>2629</v>
      </c>
      <c r="G13" s="3" t="str">
        <f>"00979469"</f>
        <v>00979469</v>
      </c>
    </row>
    <row r="14" spans="1:7" x14ac:dyDescent="0.25">
      <c r="A14" s="2">
        <v>13</v>
      </c>
      <c r="B14" s="3">
        <v>9897</v>
      </c>
      <c r="C14" s="5" t="s">
        <v>3753</v>
      </c>
      <c r="D14" s="5" t="s">
        <v>126</v>
      </c>
      <c r="E14" s="5" t="s">
        <v>27</v>
      </c>
      <c r="F14" s="3" t="s">
        <v>3754</v>
      </c>
      <c r="G14" s="3" t="str">
        <f>"00850480"</f>
        <v>00850480</v>
      </c>
    </row>
    <row r="15" spans="1:7" x14ac:dyDescent="0.25">
      <c r="A15" s="2">
        <v>14</v>
      </c>
      <c r="B15" s="3">
        <v>2597</v>
      </c>
      <c r="C15" s="5" t="s">
        <v>1605</v>
      </c>
      <c r="D15" s="5" t="s">
        <v>1023</v>
      </c>
      <c r="E15" s="5" t="s">
        <v>4828</v>
      </c>
      <c r="F15" s="3" t="s">
        <v>1606</v>
      </c>
      <c r="G15" s="3" t="str">
        <f>"00150145"</f>
        <v>00150145</v>
      </c>
    </row>
    <row r="16" spans="1:7" x14ac:dyDescent="0.25">
      <c r="A16" s="2">
        <v>15</v>
      </c>
      <c r="B16" s="3">
        <v>7129</v>
      </c>
      <c r="C16" s="5" t="s">
        <v>314</v>
      </c>
      <c r="D16" s="5" t="s">
        <v>313</v>
      </c>
      <c r="E16" s="5" t="s">
        <v>588</v>
      </c>
      <c r="F16" s="3" t="s">
        <v>315</v>
      </c>
      <c r="G16" s="3" t="str">
        <f>"00443387"</f>
        <v>00443387</v>
      </c>
    </row>
    <row r="17" spans="1:7" x14ac:dyDescent="0.25">
      <c r="A17" s="2">
        <v>16</v>
      </c>
      <c r="B17" s="3">
        <v>4708</v>
      </c>
      <c r="C17" s="5" t="s">
        <v>314</v>
      </c>
      <c r="D17" s="5" t="s">
        <v>126</v>
      </c>
      <c r="E17" s="5" t="s">
        <v>14</v>
      </c>
      <c r="F17" s="3">
        <v>34208</v>
      </c>
      <c r="G17" s="3" t="str">
        <f>"00778464"</f>
        <v>00778464</v>
      </c>
    </row>
    <row r="18" spans="1:7" x14ac:dyDescent="0.25">
      <c r="A18" s="2">
        <v>17</v>
      </c>
      <c r="B18" s="3">
        <v>249</v>
      </c>
      <c r="C18" s="5" t="s">
        <v>314</v>
      </c>
      <c r="D18" s="5" t="s">
        <v>865</v>
      </c>
      <c r="E18" s="5" t="s">
        <v>44</v>
      </c>
      <c r="F18" s="3" t="s">
        <v>2986</v>
      </c>
      <c r="G18" s="3" t="str">
        <f>"00019294"</f>
        <v>00019294</v>
      </c>
    </row>
    <row r="19" spans="1:7" x14ac:dyDescent="0.25">
      <c r="A19" s="2">
        <v>18</v>
      </c>
      <c r="B19" s="3">
        <v>13020</v>
      </c>
      <c r="C19" s="5" t="s">
        <v>1236</v>
      </c>
      <c r="D19" s="5" t="s">
        <v>1235</v>
      </c>
      <c r="E19" s="5" t="s">
        <v>4816</v>
      </c>
      <c r="F19" s="3" t="s">
        <v>1237</v>
      </c>
      <c r="G19" s="3" t="str">
        <f>"201412001674"</f>
        <v>201412001674</v>
      </c>
    </row>
    <row r="20" spans="1:7" x14ac:dyDescent="0.25">
      <c r="A20" s="2">
        <v>19</v>
      </c>
      <c r="B20" s="3">
        <v>1407</v>
      </c>
      <c r="C20" s="5" t="s">
        <v>4280</v>
      </c>
      <c r="D20" s="5" t="s">
        <v>2204</v>
      </c>
      <c r="E20" s="5" t="s">
        <v>4902</v>
      </c>
      <c r="F20" s="3" t="s">
        <v>4281</v>
      </c>
      <c r="G20" s="3" t="str">
        <f>"01013530"</f>
        <v>01013530</v>
      </c>
    </row>
    <row r="21" spans="1:7" x14ac:dyDescent="0.25">
      <c r="A21" s="2">
        <v>20</v>
      </c>
      <c r="B21" s="3">
        <v>6246</v>
      </c>
      <c r="C21" s="5" t="s">
        <v>173</v>
      </c>
      <c r="D21" s="5" t="s">
        <v>129</v>
      </c>
      <c r="E21" s="5" t="s">
        <v>951</v>
      </c>
      <c r="F21" s="3" t="s">
        <v>174</v>
      </c>
      <c r="G21" s="3" t="str">
        <f>"01015646"</f>
        <v>01015646</v>
      </c>
    </row>
    <row r="22" spans="1:7" x14ac:dyDescent="0.25">
      <c r="A22" s="2">
        <v>21</v>
      </c>
      <c r="B22" s="3">
        <v>12321</v>
      </c>
      <c r="C22" s="5" t="s">
        <v>2723</v>
      </c>
      <c r="D22" s="5" t="s">
        <v>284</v>
      </c>
      <c r="E22" s="5" t="s">
        <v>545</v>
      </c>
      <c r="F22" s="3" t="s">
        <v>4661</v>
      </c>
      <c r="G22" s="3" t="str">
        <f>"201502000441"</f>
        <v>201502000441</v>
      </c>
    </row>
    <row r="23" spans="1:7" x14ac:dyDescent="0.25">
      <c r="A23" s="2">
        <v>22</v>
      </c>
      <c r="B23" s="3">
        <v>5310</v>
      </c>
      <c r="C23" s="5" t="s">
        <v>2723</v>
      </c>
      <c r="D23" s="5" t="s">
        <v>87</v>
      </c>
      <c r="E23" s="5" t="s">
        <v>635</v>
      </c>
      <c r="F23" s="3" t="s">
        <v>2724</v>
      </c>
      <c r="G23" s="3" t="str">
        <f>"01005825"</f>
        <v>01005825</v>
      </c>
    </row>
    <row r="24" spans="1:7" x14ac:dyDescent="0.25">
      <c r="A24" s="2">
        <v>23</v>
      </c>
      <c r="B24" s="3">
        <v>3910</v>
      </c>
      <c r="C24" s="5" t="s">
        <v>3894</v>
      </c>
      <c r="D24" s="5" t="s">
        <v>3893</v>
      </c>
      <c r="E24" s="5" t="s">
        <v>94</v>
      </c>
      <c r="F24" s="3" t="s">
        <v>3895</v>
      </c>
      <c r="G24" s="3" t="str">
        <f>"201506003035"</f>
        <v>201506003035</v>
      </c>
    </row>
    <row r="25" spans="1:7" x14ac:dyDescent="0.25">
      <c r="A25" s="2">
        <v>24</v>
      </c>
      <c r="B25" s="3">
        <v>11231</v>
      </c>
      <c r="C25" s="5" t="s">
        <v>4276</v>
      </c>
      <c r="D25" s="5" t="s">
        <v>198</v>
      </c>
      <c r="E25" s="5" t="s">
        <v>82</v>
      </c>
      <c r="F25" s="3" t="s">
        <v>4277</v>
      </c>
      <c r="G25" s="3" t="str">
        <f>"00050380"</f>
        <v>00050380</v>
      </c>
    </row>
    <row r="26" spans="1:7" x14ac:dyDescent="0.25">
      <c r="A26" s="2">
        <v>25</v>
      </c>
      <c r="B26" s="3">
        <v>56</v>
      </c>
      <c r="C26" s="5" t="s">
        <v>2307</v>
      </c>
      <c r="D26" s="5" t="s">
        <v>2306</v>
      </c>
      <c r="E26" s="5" t="s">
        <v>14</v>
      </c>
      <c r="F26" s="3" t="s">
        <v>2308</v>
      </c>
      <c r="G26" s="3" t="str">
        <f>"00991718"</f>
        <v>00991718</v>
      </c>
    </row>
    <row r="27" spans="1:7" x14ac:dyDescent="0.25">
      <c r="A27" s="2">
        <v>26</v>
      </c>
      <c r="B27" s="3">
        <v>3943</v>
      </c>
      <c r="C27" s="5" t="s">
        <v>1170</v>
      </c>
      <c r="D27" s="5" t="s">
        <v>84</v>
      </c>
      <c r="E27" s="5" t="s">
        <v>52</v>
      </c>
      <c r="F27" s="3" t="s">
        <v>1171</v>
      </c>
      <c r="G27" s="3" t="str">
        <f>"00874679"</f>
        <v>00874679</v>
      </c>
    </row>
    <row r="28" spans="1:7" x14ac:dyDescent="0.25">
      <c r="A28" s="2">
        <v>27</v>
      </c>
      <c r="B28" s="3">
        <v>9393</v>
      </c>
      <c r="C28" s="5" t="s">
        <v>4610</v>
      </c>
      <c r="D28" s="5" t="s">
        <v>4032</v>
      </c>
      <c r="E28" s="5" t="s">
        <v>44</v>
      </c>
      <c r="F28" s="3" t="s">
        <v>4611</v>
      </c>
      <c r="G28" s="3" t="str">
        <f>"00926636"</f>
        <v>00926636</v>
      </c>
    </row>
    <row r="29" spans="1:7" x14ac:dyDescent="0.25">
      <c r="A29" s="2">
        <v>28</v>
      </c>
      <c r="B29" s="3">
        <v>3145</v>
      </c>
      <c r="C29" s="5" t="s">
        <v>1368</v>
      </c>
      <c r="D29" s="5" t="s">
        <v>126</v>
      </c>
      <c r="E29" s="5" t="s">
        <v>63</v>
      </c>
      <c r="F29" s="3" t="s">
        <v>1369</v>
      </c>
      <c r="G29" s="3" t="str">
        <f>"00222678"</f>
        <v>00222678</v>
      </c>
    </row>
    <row r="30" spans="1:7" x14ac:dyDescent="0.25">
      <c r="A30" s="2">
        <v>29</v>
      </c>
      <c r="B30" s="3">
        <v>6323</v>
      </c>
      <c r="C30" s="5" t="s">
        <v>3116</v>
      </c>
      <c r="D30" s="5" t="s">
        <v>11</v>
      </c>
      <c r="E30" s="5" t="s">
        <v>38</v>
      </c>
      <c r="F30" s="3" t="s">
        <v>3117</v>
      </c>
      <c r="G30" s="3" t="str">
        <f>"00266565"</f>
        <v>00266565</v>
      </c>
    </row>
    <row r="31" spans="1:7" x14ac:dyDescent="0.25">
      <c r="A31" s="2">
        <v>30</v>
      </c>
      <c r="B31" s="3">
        <v>7607</v>
      </c>
      <c r="C31" s="5" t="s">
        <v>2502</v>
      </c>
      <c r="D31" s="5" t="s">
        <v>14</v>
      </c>
      <c r="E31" s="5" t="s">
        <v>52</v>
      </c>
      <c r="F31" s="3" t="s">
        <v>2503</v>
      </c>
      <c r="G31" s="3" t="str">
        <f>"00471977"</f>
        <v>00471977</v>
      </c>
    </row>
    <row r="32" spans="1:7" x14ac:dyDescent="0.25">
      <c r="A32" s="2">
        <v>31</v>
      </c>
      <c r="B32" s="3">
        <v>5320</v>
      </c>
      <c r="C32" s="5" t="s">
        <v>949</v>
      </c>
      <c r="D32" s="5" t="s">
        <v>84</v>
      </c>
      <c r="E32" s="5" t="s">
        <v>32</v>
      </c>
      <c r="F32" s="3" t="s">
        <v>950</v>
      </c>
      <c r="G32" s="3" t="str">
        <f>"00575829"</f>
        <v>00575829</v>
      </c>
    </row>
    <row r="33" spans="1:7" x14ac:dyDescent="0.25">
      <c r="A33" s="2">
        <v>32</v>
      </c>
      <c r="B33" s="3">
        <v>2148</v>
      </c>
      <c r="C33" s="5" t="s">
        <v>747</v>
      </c>
      <c r="D33" s="5" t="s">
        <v>252</v>
      </c>
      <c r="E33" s="5" t="s">
        <v>2017</v>
      </c>
      <c r="F33" s="3">
        <v>2013051</v>
      </c>
      <c r="G33" s="3" t="str">
        <f>"00986026"</f>
        <v>00986026</v>
      </c>
    </row>
    <row r="34" spans="1:7" x14ac:dyDescent="0.25">
      <c r="A34" s="2">
        <v>33</v>
      </c>
      <c r="B34" s="3">
        <v>4310</v>
      </c>
      <c r="C34" s="5" t="s">
        <v>747</v>
      </c>
      <c r="D34" s="5" t="s">
        <v>129</v>
      </c>
      <c r="E34" s="5" t="s">
        <v>1152</v>
      </c>
      <c r="F34" s="3" t="s">
        <v>748</v>
      </c>
      <c r="G34" s="3" t="str">
        <f>"00933908"</f>
        <v>00933908</v>
      </c>
    </row>
    <row r="35" spans="1:7" x14ac:dyDescent="0.25">
      <c r="A35" s="2">
        <v>34</v>
      </c>
      <c r="B35" s="3">
        <v>9928</v>
      </c>
      <c r="C35" s="5" t="s">
        <v>284</v>
      </c>
      <c r="D35" s="5" t="s">
        <v>3817</v>
      </c>
      <c r="E35" s="5" t="s">
        <v>5</v>
      </c>
      <c r="F35" s="3" t="s">
        <v>3818</v>
      </c>
      <c r="G35" s="3" t="str">
        <f>"00336978"</f>
        <v>00336978</v>
      </c>
    </row>
    <row r="36" spans="1:7" x14ac:dyDescent="0.25">
      <c r="A36" s="2">
        <v>35</v>
      </c>
      <c r="B36" s="3">
        <v>4666</v>
      </c>
      <c r="C36" s="5" t="s">
        <v>1010</v>
      </c>
      <c r="D36" s="5" t="s">
        <v>3932</v>
      </c>
      <c r="E36" s="5" t="s">
        <v>41</v>
      </c>
      <c r="F36" s="3" t="s">
        <v>3933</v>
      </c>
      <c r="G36" s="3" t="str">
        <f>"00767943"</f>
        <v>00767943</v>
      </c>
    </row>
    <row r="37" spans="1:7" x14ac:dyDescent="0.25">
      <c r="A37" s="2">
        <v>36</v>
      </c>
      <c r="B37" s="3">
        <v>1836</v>
      </c>
      <c r="C37" s="5" t="s">
        <v>1010</v>
      </c>
      <c r="D37" s="5" t="s">
        <v>32</v>
      </c>
      <c r="E37" s="5" t="s">
        <v>5</v>
      </c>
      <c r="F37" s="3" t="s">
        <v>1011</v>
      </c>
      <c r="G37" s="3" t="str">
        <f>"00653208"</f>
        <v>00653208</v>
      </c>
    </row>
    <row r="38" spans="1:7" x14ac:dyDescent="0.25">
      <c r="A38" s="2">
        <v>37</v>
      </c>
      <c r="B38" s="3">
        <v>9724</v>
      </c>
      <c r="C38" s="5" t="s">
        <v>1010</v>
      </c>
      <c r="D38" s="5" t="s">
        <v>810</v>
      </c>
      <c r="E38" s="5" t="s">
        <v>2694</v>
      </c>
      <c r="F38" s="3" t="s">
        <v>2566</v>
      </c>
      <c r="G38" s="3" t="str">
        <f>"01013939"</f>
        <v>01013939</v>
      </c>
    </row>
    <row r="39" spans="1:7" x14ac:dyDescent="0.25">
      <c r="A39" s="2">
        <v>38</v>
      </c>
      <c r="B39" s="3">
        <v>7242</v>
      </c>
      <c r="C39" s="5" t="s">
        <v>1010</v>
      </c>
      <c r="D39" s="5" t="s">
        <v>3231</v>
      </c>
      <c r="E39" s="5" t="s">
        <v>32</v>
      </c>
      <c r="F39" s="3" t="s">
        <v>3232</v>
      </c>
      <c r="G39" s="3" t="str">
        <f>"00487773"</f>
        <v>00487773</v>
      </c>
    </row>
    <row r="40" spans="1:7" x14ac:dyDescent="0.25">
      <c r="A40" s="2">
        <v>39</v>
      </c>
      <c r="B40" s="3">
        <v>2516</v>
      </c>
      <c r="C40" s="5" t="s">
        <v>1536</v>
      </c>
      <c r="D40" s="5" t="s">
        <v>52</v>
      </c>
      <c r="E40" s="5" t="s">
        <v>11</v>
      </c>
      <c r="F40" s="3" t="s">
        <v>3296</v>
      </c>
      <c r="G40" s="3" t="str">
        <f>"01014585"</f>
        <v>01014585</v>
      </c>
    </row>
    <row r="41" spans="1:7" x14ac:dyDescent="0.25">
      <c r="A41" s="2">
        <v>40</v>
      </c>
      <c r="B41" s="3">
        <v>7258</v>
      </c>
      <c r="C41" s="5" t="s">
        <v>1536</v>
      </c>
      <c r="D41" s="5" t="s">
        <v>167</v>
      </c>
      <c r="E41" s="5" t="s">
        <v>87</v>
      </c>
      <c r="F41" s="3" t="s">
        <v>1537</v>
      </c>
      <c r="G41" s="3" t="str">
        <f>"00885564"</f>
        <v>00885564</v>
      </c>
    </row>
    <row r="42" spans="1:7" x14ac:dyDescent="0.25">
      <c r="A42" s="2">
        <v>41</v>
      </c>
      <c r="B42" s="3">
        <v>12941</v>
      </c>
      <c r="C42" s="5" t="s">
        <v>4529</v>
      </c>
      <c r="D42" s="5" t="s">
        <v>84</v>
      </c>
      <c r="E42" s="5" t="s">
        <v>252</v>
      </c>
      <c r="F42" s="3" t="s">
        <v>4530</v>
      </c>
      <c r="G42" s="3" t="str">
        <f>"00502119"</f>
        <v>00502119</v>
      </c>
    </row>
    <row r="43" spans="1:7" x14ac:dyDescent="0.25">
      <c r="A43" s="2">
        <v>42</v>
      </c>
      <c r="B43" s="3">
        <v>4812</v>
      </c>
      <c r="C43" s="5" t="s">
        <v>913</v>
      </c>
      <c r="D43" s="5" t="s">
        <v>3804</v>
      </c>
      <c r="E43" s="5" t="s">
        <v>44</v>
      </c>
      <c r="F43" s="3" t="s">
        <v>3805</v>
      </c>
      <c r="G43" s="3" t="str">
        <f>"01003790"</f>
        <v>01003790</v>
      </c>
    </row>
    <row r="44" spans="1:7" x14ac:dyDescent="0.25">
      <c r="A44" s="2">
        <v>43</v>
      </c>
      <c r="B44" s="3">
        <v>1630</v>
      </c>
      <c r="C44" s="5" t="s">
        <v>913</v>
      </c>
      <c r="D44" s="5" t="s">
        <v>87</v>
      </c>
      <c r="E44" s="5" t="s">
        <v>35</v>
      </c>
      <c r="F44" s="3" t="s">
        <v>914</v>
      </c>
      <c r="G44" s="3" t="str">
        <f>"201507003001"</f>
        <v>201507003001</v>
      </c>
    </row>
    <row r="45" spans="1:7" x14ac:dyDescent="0.25">
      <c r="A45" s="2">
        <v>44</v>
      </c>
      <c r="B45" s="3">
        <v>12056</v>
      </c>
      <c r="C45" s="5" t="s">
        <v>913</v>
      </c>
      <c r="D45" s="5" t="s">
        <v>102</v>
      </c>
      <c r="E45" s="5" t="s">
        <v>35</v>
      </c>
      <c r="F45" s="3" t="s">
        <v>1009</v>
      </c>
      <c r="G45" s="3" t="str">
        <f>"00562047"</f>
        <v>00562047</v>
      </c>
    </row>
    <row r="46" spans="1:7" x14ac:dyDescent="0.25">
      <c r="A46" s="2">
        <v>45</v>
      </c>
      <c r="B46" s="3">
        <v>5849</v>
      </c>
      <c r="C46" s="5" t="s">
        <v>2978</v>
      </c>
      <c r="D46" s="5" t="s">
        <v>644</v>
      </c>
      <c r="E46" s="5" t="s">
        <v>113</v>
      </c>
      <c r="F46" s="3" t="s">
        <v>2979</v>
      </c>
      <c r="G46" s="3" t="str">
        <f>"01017330"</f>
        <v>01017330</v>
      </c>
    </row>
    <row r="47" spans="1:7" x14ac:dyDescent="0.25">
      <c r="A47" s="2">
        <v>46</v>
      </c>
      <c r="B47" s="3">
        <v>4559</v>
      </c>
      <c r="C47" s="5" t="s">
        <v>2978</v>
      </c>
      <c r="D47" s="5" t="s">
        <v>2943</v>
      </c>
      <c r="E47" s="5" t="s">
        <v>27</v>
      </c>
      <c r="F47" s="3" t="s">
        <v>4203</v>
      </c>
      <c r="G47" s="3" t="str">
        <f>"00733708"</f>
        <v>00733708</v>
      </c>
    </row>
    <row r="48" spans="1:7" x14ac:dyDescent="0.25">
      <c r="A48" s="2">
        <v>47</v>
      </c>
      <c r="B48" s="3">
        <v>2893</v>
      </c>
      <c r="C48" s="5" t="s">
        <v>2794</v>
      </c>
      <c r="D48" s="5" t="s">
        <v>11</v>
      </c>
      <c r="E48" s="5" t="s">
        <v>44</v>
      </c>
      <c r="F48" s="3" t="s">
        <v>2795</v>
      </c>
      <c r="G48" s="3" t="str">
        <f>"01016306"</f>
        <v>01016306</v>
      </c>
    </row>
    <row r="49" spans="1:7" x14ac:dyDescent="0.25">
      <c r="A49" s="2">
        <v>48</v>
      </c>
      <c r="B49" s="3">
        <v>3818</v>
      </c>
      <c r="C49" s="5" t="s">
        <v>1995</v>
      </c>
      <c r="D49" s="5" t="s">
        <v>126</v>
      </c>
      <c r="E49" s="5" t="s">
        <v>14</v>
      </c>
      <c r="F49" s="3" t="s">
        <v>1996</v>
      </c>
      <c r="G49" s="3" t="str">
        <f>"00727924"</f>
        <v>00727924</v>
      </c>
    </row>
    <row r="50" spans="1:7" x14ac:dyDescent="0.25">
      <c r="A50" s="2">
        <v>49</v>
      </c>
      <c r="B50" s="3">
        <v>2140</v>
      </c>
      <c r="C50" s="5" t="s">
        <v>4066</v>
      </c>
      <c r="D50" s="5" t="s">
        <v>4065</v>
      </c>
      <c r="E50" s="5" t="s">
        <v>1023</v>
      </c>
      <c r="F50" s="3" t="s">
        <v>4067</v>
      </c>
      <c r="G50" s="3" t="str">
        <f>"201507001402"</f>
        <v>201507001402</v>
      </c>
    </row>
    <row r="51" spans="1:7" x14ac:dyDescent="0.25">
      <c r="A51" s="2">
        <v>50</v>
      </c>
      <c r="B51" s="3">
        <v>9473</v>
      </c>
      <c r="C51" s="5" t="s">
        <v>4358</v>
      </c>
      <c r="D51" s="5" t="s">
        <v>2780</v>
      </c>
      <c r="E51" s="5" t="s">
        <v>87</v>
      </c>
      <c r="F51" s="3" t="s">
        <v>4359</v>
      </c>
      <c r="G51" s="3" t="str">
        <f>"00981228"</f>
        <v>00981228</v>
      </c>
    </row>
    <row r="52" spans="1:7" x14ac:dyDescent="0.25">
      <c r="A52" s="2">
        <v>51</v>
      </c>
      <c r="B52" s="3">
        <v>11919</v>
      </c>
      <c r="C52" s="5" t="s">
        <v>4702</v>
      </c>
      <c r="D52" s="5" t="s">
        <v>307</v>
      </c>
      <c r="E52" s="5" t="s">
        <v>135</v>
      </c>
      <c r="F52" s="3" t="s">
        <v>4703</v>
      </c>
      <c r="G52" s="3" t="str">
        <f>"00172175"</f>
        <v>00172175</v>
      </c>
    </row>
    <row r="53" spans="1:7" x14ac:dyDescent="0.25">
      <c r="A53" s="2">
        <v>52</v>
      </c>
      <c r="B53" s="3">
        <v>7784</v>
      </c>
      <c r="C53" s="5" t="s">
        <v>2280</v>
      </c>
      <c r="D53" s="5" t="s">
        <v>14</v>
      </c>
      <c r="E53" s="5" t="s">
        <v>3583</v>
      </c>
      <c r="F53" s="3" t="s">
        <v>2281</v>
      </c>
      <c r="G53" s="3" t="str">
        <f>"00435469"</f>
        <v>00435469</v>
      </c>
    </row>
    <row r="54" spans="1:7" x14ac:dyDescent="0.25">
      <c r="A54" s="2">
        <v>53</v>
      </c>
      <c r="B54" s="3">
        <v>1424</v>
      </c>
      <c r="C54" s="5" t="s">
        <v>234</v>
      </c>
      <c r="D54" s="5" t="s">
        <v>588</v>
      </c>
      <c r="E54" s="5" t="s">
        <v>44</v>
      </c>
      <c r="F54" s="3" t="s">
        <v>718</v>
      </c>
      <c r="G54" s="3" t="str">
        <f>"00332820"</f>
        <v>00332820</v>
      </c>
    </row>
    <row r="55" spans="1:7" x14ac:dyDescent="0.25">
      <c r="A55" s="2">
        <v>54</v>
      </c>
      <c r="B55" s="3">
        <v>6211</v>
      </c>
      <c r="C55" s="5" t="s">
        <v>234</v>
      </c>
      <c r="D55" s="5" t="s">
        <v>32</v>
      </c>
      <c r="E55" s="5" t="s">
        <v>2076</v>
      </c>
      <c r="F55" s="3" t="s">
        <v>1309</v>
      </c>
      <c r="G55" s="3" t="str">
        <f>"01016205"</f>
        <v>01016205</v>
      </c>
    </row>
    <row r="56" spans="1:7" x14ac:dyDescent="0.25">
      <c r="A56" s="2">
        <v>55</v>
      </c>
      <c r="B56" s="3">
        <v>4459</v>
      </c>
      <c r="C56" s="5" t="s">
        <v>234</v>
      </c>
      <c r="D56" s="5" t="s">
        <v>44</v>
      </c>
      <c r="E56" s="5" t="s">
        <v>4788</v>
      </c>
      <c r="F56" s="3" t="s">
        <v>235</v>
      </c>
      <c r="G56" s="3" t="str">
        <f>"00993458"</f>
        <v>00993458</v>
      </c>
    </row>
    <row r="57" spans="1:7" x14ac:dyDescent="0.25">
      <c r="A57" s="2">
        <v>56</v>
      </c>
      <c r="B57" s="3">
        <v>578</v>
      </c>
      <c r="C57" s="5" t="s">
        <v>234</v>
      </c>
      <c r="D57" s="5" t="s">
        <v>604</v>
      </c>
      <c r="E57" s="5" t="s">
        <v>87</v>
      </c>
      <c r="F57" s="3" t="s">
        <v>3535</v>
      </c>
      <c r="G57" s="3" t="str">
        <f>"00981083"</f>
        <v>00981083</v>
      </c>
    </row>
    <row r="58" spans="1:7" x14ac:dyDescent="0.25">
      <c r="A58" s="2">
        <v>57</v>
      </c>
      <c r="B58" s="3">
        <v>5016</v>
      </c>
      <c r="C58" s="5" t="s">
        <v>25</v>
      </c>
      <c r="D58" s="5" t="s">
        <v>87</v>
      </c>
      <c r="E58" s="5" t="s">
        <v>609</v>
      </c>
      <c r="F58" s="3">
        <v>15430</v>
      </c>
      <c r="G58" s="3" t="str">
        <f>"201510002771"</f>
        <v>201510002771</v>
      </c>
    </row>
    <row r="59" spans="1:7" x14ac:dyDescent="0.25">
      <c r="A59" s="2">
        <v>58</v>
      </c>
      <c r="B59" s="3">
        <v>9256</v>
      </c>
      <c r="C59" s="5" t="s">
        <v>25</v>
      </c>
      <c r="D59" s="5" t="s">
        <v>24</v>
      </c>
      <c r="E59" s="5" t="s">
        <v>284</v>
      </c>
      <c r="F59" s="3" t="s">
        <v>26</v>
      </c>
      <c r="G59" s="3" t="str">
        <f>"00486304"</f>
        <v>00486304</v>
      </c>
    </row>
    <row r="60" spans="1:7" x14ac:dyDescent="0.25">
      <c r="A60" s="2">
        <v>59</v>
      </c>
      <c r="B60" s="3">
        <v>5746</v>
      </c>
      <c r="C60" s="5" t="s">
        <v>25</v>
      </c>
      <c r="D60" s="5" t="s">
        <v>2017</v>
      </c>
      <c r="E60" s="5" t="s">
        <v>5</v>
      </c>
      <c r="F60" s="3" t="s">
        <v>2425</v>
      </c>
      <c r="G60" s="3" t="str">
        <f>"00730317"</f>
        <v>00730317</v>
      </c>
    </row>
    <row r="61" spans="1:7" x14ac:dyDescent="0.25">
      <c r="A61" s="2">
        <v>60</v>
      </c>
      <c r="B61" s="3">
        <v>6543</v>
      </c>
      <c r="C61" s="5" t="s">
        <v>25</v>
      </c>
      <c r="D61" s="5" t="s">
        <v>44</v>
      </c>
      <c r="E61" s="5" t="s">
        <v>94</v>
      </c>
      <c r="F61" s="3" t="s">
        <v>4416</v>
      </c>
      <c r="G61" s="3" t="str">
        <f>"00906229"</f>
        <v>00906229</v>
      </c>
    </row>
    <row r="62" spans="1:7" x14ac:dyDescent="0.25">
      <c r="A62" s="2">
        <v>61</v>
      </c>
      <c r="B62" s="3">
        <v>8072</v>
      </c>
      <c r="C62" s="5" t="s">
        <v>25</v>
      </c>
      <c r="D62" s="5" t="s">
        <v>5</v>
      </c>
      <c r="E62" s="5" t="s">
        <v>4909</v>
      </c>
      <c r="F62" s="3" t="s">
        <v>4355</v>
      </c>
      <c r="G62" s="3" t="str">
        <f>"00617949"</f>
        <v>00617949</v>
      </c>
    </row>
    <row r="63" spans="1:7" x14ac:dyDescent="0.25">
      <c r="A63" s="2">
        <v>62</v>
      </c>
      <c r="B63" s="3">
        <v>4767</v>
      </c>
      <c r="C63" s="5" t="s">
        <v>3281</v>
      </c>
      <c r="D63" s="5" t="s">
        <v>32</v>
      </c>
      <c r="E63" s="5" t="s">
        <v>87</v>
      </c>
      <c r="F63" s="3"/>
      <c r="G63" s="3" t="str">
        <f>"00845403"</f>
        <v>00845403</v>
      </c>
    </row>
    <row r="64" spans="1:7" x14ac:dyDescent="0.25">
      <c r="A64" s="2">
        <v>63</v>
      </c>
      <c r="B64" s="3">
        <v>4089</v>
      </c>
      <c r="C64" s="5" t="s">
        <v>3281</v>
      </c>
      <c r="D64" s="5" t="s">
        <v>129</v>
      </c>
      <c r="E64" s="5" t="s">
        <v>284</v>
      </c>
      <c r="F64" s="3" t="s">
        <v>3282</v>
      </c>
      <c r="G64" s="3" t="str">
        <f>"00982846"</f>
        <v>00982846</v>
      </c>
    </row>
    <row r="65" spans="1:7" x14ac:dyDescent="0.25">
      <c r="A65" s="2">
        <v>64</v>
      </c>
      <c r="B65" s="3">
        <v>6769</v>
      </c>
      <c r="C65" s="5" t="s">
        <v>3541</v>
      </c>
      <c r="D65" s="5" t="s">
        <v>366</v>
      </c>
      <c r="E65" s="5" t="s">
        <v>252</v>
      </c>
      <c r="F65" s="3" t="s">
        <v>3542</v>
      </c>
      <c r="G65" s="3" t="str">
        <f>"00447989"</f>
        <v>00447989</v>
      </c>
    </row>
    <row r="66" spans="1:7" x14ac:dyDescent="0.25">
      <c r="A66" s="2">
        <v>65</v>
      </c>
      <c r="B66" s="3">
        <v>8366</v>
      </c>
      <c r="C66" s="5" t="s">
        <v>633</v>
      </c>
      <c r="D66" s="5" t="s">
        <v>632</v>
      </c>
      <c r="E66" s="5" t="s">
        <v>4801</v>
      </c>
      <c r="F66" s="3" t="s">
        <v>634</v>
      </c>
      <c r="G66" s="3" t="str">
        <f>"00441195"</f>
        <v>00441195</v>
      </c>
    </row>
    <row r="67" spans="1:7" x14ac:dyDescent="0.25">
      <c r="A67" s="2">
        <v>66</v>
      </c>
      <c r="B67" s="3">
        <v>13000</v>
      </c>
      <c r="C67" s="5" t="s">
        <v>4165</v>
      </c>
      <c r="D67" s="5" t="s">
        <v>44</v>
      </c>
      <c r="E67" s="5" t="s">
        <v>87</v>
      </c>
      <c r="F67" s="3" t="s">
        <v>4166</v>
      </c>
      <c r="G67" s="3" t="str">
        <f>"00983870"</f>
        <v>00983870</v>
      </c>
    </row>
    <row r="68" spans="1:7" x14ac:dyDescent="0.25">
      <c r="A68" s="2">
        <v>67</v>
      </c>
      <c r="B68" s="3">
        <v>11430</v>
      </c>
      <c r="C68" s="5" t="s">
        <v>1164</v>
      </c>
      <c r="D68" s="5" t="s">
        <v>1163</v>
      </c>
      <c r="E68" s="5" t="s">
        <v>91</v>
      </c>
      <c r="F68" s="3" t="s">
        <v>1165</v>
      </c>
      <c r="G68" s="3" t="str">
        <f>"00141203"</f>
        <v>00141203</v>
      </c>
    </row>
    <row r="69" spans="1:7" x14ac:dyDescent="0.25">
      <c r="A69" s="2">
        <v>68</v>
      </c>
      <c r="B69" s="3">
        <v>8905</v>
      </c>
      <c r="C69" s="5" t="s">
        <v>929</v>
      </c>
      <c r="D69" s="5" t="s">
        <v>14</v>
      </c>
      <c r="E69" s="5" t="s">
        <v>87</v>
      </c>
      <c r="F69" s="3" t="s">
        <v>930</v>
      </c>
      <c r="G69" s="3" t="str">
        <f>"00815196"</f>
        <v>00815196</v>
      </c>
    </row>
    <row r="70" spans="1:7" x14ac:dyDescent="0.25">
      <c r="A70" s="2">
        <v>69</v>
      </c>
      <c r="B70" s="3">
        <v>7485</v>
      </c>
      <c r="C70" s="5" t="s">
        <v>3175</v>
      </c>
      <c r="D70" s="5" t="s">
        <v>129</v>
      </c>
      <c r="E70" s="5" t="s">
        <v>4875</v>
      </c>
      <c r="F70" s="3" t="s">
        <v>3176</v>
      </c>
      <c r="G70" s="3" t="str">
        <f>"00994137"</f>
        <v>00994137</v>
      </c>
    </row>
    <row r="71" spans="1:7" x14ac:dyDescent="0.25">
      <c r="A71" s="2">
        <v>70</v>
      </c>
      <c r="B71" s="3">
        <v>1183</v>
      </c>
      <c r="C71" s="5" t="s">
        <v>3575</v>
      </c>
      <c r="D71" s="5" t="s">
        <v>1738</v>
      </c>
      <c r="E71" s="5" t="s">
        <v>5</v>
      </c>
      <c r="F71" s="3" t="s">
        <v>3576</v>
      </c>
      <c r="G71" s="3" t="str">
        <f>"00984839"</f>
        <v>00984839</v>
      </c>
    </row>
    <row r="72" spans="1:7" x14ac:dyDescent="0.25">
      <c r="A72" s="2">
        <v>71</v>
      </c>
      <c r="B72" s="3">
        <v>3835</v>
      </c>
      <c r="C72" s="5" t="s">
        <v>4565</v>
      </c>
      <c r="D72" s="5" t="s">
        <v>4564</v>
      </c>
      <c r="E72" s="5" t="s">
        <v>1607</v>
      </c>
      <c r="F72" s="3" t="s">
        <v>4566</v>
      </c>
      <c r="G72" s="3" t="str">
        <f>"00977075"</f>
        <v>00977075</v>
      </c>
    </row>
    <row r="73" spans="1:7" x14ac:dyDescent="0.25">
      <c r="A73" s="2">
        <v>72</v>
      </c>
      <c r="B73" s="3">
        <v>5413</v>
      </c>
      <c r="C73" s="5" t="s">
        <v>429</v>
      </c>
      <c r="D73" s="5" t="s">
        <v>428</v>
      </c>
      <c r="E73" s="5" t="s">
        <v>32</v>
      </c>
      <c r="F73" s="3" t="s">
        <v>430</v>
      </c>
      <c r="G73" s="3" t="str">
        <f>"201412000391"</f>
        <v>201412000391</v>
      </c>
    </row>
    <row r="74" spans="1:7" x14ac:dyDescent="0.25">
      <c r="A74" s="2">
        <v>73</v>
      </c>
      <c r="B74" s="3">
        <v>2594</v>
      </c>
      <c r="C74" s="5" t="s">
        <v>291</v>
      </c>
      <c r="D74" s="5" t="s">
        <v>4307</v>
      </c>
      <c r="E74" s="5" t="s">
        <v>4904</v>
      </c>
      <c r="F74" s="3" t="s">
        <v>4308</v>
      </c>
      <c r="G74" s="3" t="str">
        <f>"00437840"</f>
        <v>00437840</v>
      </c>
    </row>
    <row r="75" spans="1:7" x14ac:dyDescent="0.25">
      <c r="A75" s="2">
        <v>74</v>
      </c>
      <c r="B75" s="3">
        <v>2285</v>
      </c>
      <c r="C75" s="5" t="s">
        <v>291</v>
      </c>
      <c r="D75" s="5" t="s">
        <v>129</v>
      </c>
      <c r="E75" s="5" t="s">
        <v>11</v>
      </c>
      <c r="F75" s="3" t="s">
        <v>292</v>
      </c>
      <c r="G75" s="3" t="str">
        <f>"201502003224"</f>
        <v>201502003224</v>
      </c>
    </row>
    <row r="76" spans="1:7" x14ac:dyDescent="0.25">
      <c r="A76" s="2">
        <v>75</v>
      </c>
      <c r="B76" s="3">
        <v>8680</v>
      </c>
      <c r="C76" s="5" t="s">
        <v>1197</v>
      </c>
      <c r="D76" s="5" t="s">
        <v>82</v>
      </c>
      <c r="E76" s="5" t="s">
        <v>32</v>
      </c>
      <c r="F76" s="3" t="s">
        <v>1198</v>
      </c>
      <c r="G76" s="3" t="str">
        <f>"00879651"</f>
        <v>00879651</v>
      </c>
    </row>
    <row r="77" spans="1:7" x14ac:dyDescent="0.25">
      <c r="A77" s="2">
        <v>76</v>
      </c>
      <c r="B77" s="3">
        <v>8679</v>
      </c>
      <c r="C77" s="5" t="s">
        <v>4121</v>
      </c>
      <c r="D77" s="5" t="s">
        <v>776</v>
      </c>
      <c r="E77" s="5" t="s">
        <v>11</v>
      </c>
      <c r="F77" s="3" t="s">
        <v>4122</v>
      </c>
      <c r="G77" s="3" t="str">
        <f>"00817901"</f>
        <v>00817901</v>
      </c>
    </row>
    <row r="78" spans="1:7" x14ac:dyDescent="0.25">
      <c r="A78" s="2">
        <v>77</v>
      </c>
      <c r="B78" s="3">
        <v>9183</v>
      </c>
      <c r="C78" s="5" t="s">
        <v>592</v>
      </c>
      <c r="D78" s="5" t="s">
        <v>87</v>
      </c>
      <c r="E78" s="5" t="s">
        <v>4798</v>
      </c>
      <c r="F78" s="3" t="s">
        <v>593</v>
      </c>
      <c r="G78" s="3" t="str">
        <f>"00462938"</f>
        <v>00462938</v>
      </c>
    </row>
    <row r="79" spans="1:7" x14ac:dyDescent="0.25">
      <c r="A79" s="2">
        <v>78</v>
      </c>
      <c r="B79" s="3">
        <v>5518</v>
      </c>
      <c r="C79" s="5" t="s">
        <v>2633</v>
      </c>
      <c r="D79" s="5" t="s">
        <v>622</v>
      </c>
      <c r="E79" s="5" t="s">
        <v>14</v>
      </c>
      <c r="F79" s="3" t="s">
        <v>2634</v>
      </c>
      <c r="G79" s="3" t="str">
        <f>"00469946"</f>
        <v>00469946</v>
      </c>
    </row>
    <row r="80" spans="1:7" x14ac:dyDescent="0.25">
      <c r="A80" s="2">
        <v>79</v>
      </c>
      <c r="B80" s="3">
        <v>6991</v>
      </c>
      <c r="C80" s="5" t="s">
        <v>3989</v>
      </c>
      <c r="D80" s="5" t="s">
        <v>3988</v>
      </c>
      <c r="E80" s="5" t="s">
        <v>4895</v>
      </c>
      <c r="F80" s="3">
        <v>901287019</v>
      </c>
      <c r="G80" s="3" t="str">
        <f>"00448558"</f>
        <v>00448558</v>
      </c>
    </row>
    <row r="81" spans="1:7" x14ac:dyDescent="0.25">
      <c r="A81" s="2">
        <v>80</v>
      </c>
      <c r="B81" s="3">
        <v>10268</v>
      </c>
      <c r="C81" s="5" t="s">
        <v>672</v>
      </c>
      <c r="D81" s="5" t="s">
        <v>214</v>
      </c>
      <c r="E81" s="5" t="s">
        <v>545</v>
      </c>
      <c r="F81" s="3" t="s">
        <v>4219</v>
      </c>
      <c r="G81" s="3" t="str">
        <f>"00679782"</f>
        <v>00679782</v>
      </c>
    </row>
    <row r="82" spans="1:7" x14ac:dyDescent="0.25">
      <c r="A82" s="2">
        <v>81</v>
      </c>
      <c r="B82" s="3">
        <v>1688</v>
      </c>
      <c r="C82" s="5" t="s">
        <v>672</v>
      </c>
      <c r="D82" s="5" t="s">
        <v>986</v>
      </c>
      <c r="E82" s="5" t="s">
        <v>82</v>
      </c>
      <c r="F82" s="3" t="s">
        <v>987</v>
      </c>
      <c r="G82" s="3" t="str">
        <f>"201604005533"</f>
        <v>201604005533</v>
      </c>
    </row>
    <row r="83" spans="1:7" x14ac:dyDescent="0.25">
      <c r="A83" s="2">
        <v>82</v>
      </c>
      <c r="B83" s="3">
        <v>2625</v>
      </c>
      <c r="C83" s="5" t="s">
        <v>672</v>
      </c>
      <c r="D83" s="5" t="s">
        <v>82</v>
      </c>
      <c r="E83" s="5" t="s">
        <v>52</v>
      </c>
      <c r="F83" s="3" t="s">
        <v>673</v>
      </c>
      <c r="G83" s="3" t="str">
        <f>"01016589"</f>
        <v>01016589</v>
      </c>
    </row>
    <row r="84" spans="1:7" x14ac:dyDescent="0.25">
      <c r="A84" s="2">
        <v>83</v>
      </c>
      <c r="B84" s="3">
        <v>1934</v>
      </c>
      <c r="C84" s="5" t="s">
        <v>672</v>
      </c>
      <c r="D84" s="5" t="s">
        <v>11</v>
      </c>
      <c r="E84" s="5" t="s">
        <v>382</v>
      </c>
      <c r="F84" s="3">
        <v>2012445</v>
      </c>
      <c r="G84" s="3" t="str">
        <f>"00930996"</f>
        <v>00930996</v>
      </c>
    </row>
    <row r="85" spans="1:7" x14ac:dyDescent="0.25">
      <c r="A85" s="2">
        <v>84</v>
      </c>
      <c r="B85" s="3">
        <v>8371</v>
      </c>
      <c r="C85" s="5" t="s">
        <v>522</v>
      </c>
      <c r="D85" s="5" t="s">
        <v>66</v>
      </c>
      <c r="E85" s="5" t="s">
        <v>87</v>
      </c>
      <c r="F85" s="3" t="s">
        <v>523</v>
      </c>
      <c r="G85" s="3" t="str">
        <f>"00451867"</f>
        <v>00451867</v>
      </c>
    </row>
    <row r="86" spans="1:7" x14ac:dyDescent="0.25">
      <c r="A86" s="2">
        <v>85</v>
      </c>
      <c r="B86" s="3">
        <v>3881</v>
      </c>
      <c r="C86" s="5" t="s">
        <v>1792</v>
      </c>
      <c r="D86" s="5" t="s">
        <v>52</v>
      </c>
      <c r="E86" s="5" t="s">
        <v>4790</v>
      </c>
      <c r="F86" s="3">
        <v>900660013</v>
      </c>
      <c r="G86" s="3" t="str">
        <f>"01015441"</f>
        <v>01015441</v>
      </c>
    </row>
    <row r="87" spans="1:7" x14ac:dyDescent="0.25">
      <c r="A87" s="2">
        <v>86</v>
      </c>
      <c r="B87" s="3">
        <v>3866</v>
      </c>
      <c r="C87" s="5" t="s">
        <v>4484</v>
      </c>
      <c r="D87" s="5" t="s">
        <v>4483</v>
      </c>
      <c r="E87" s="5" t="s">
        <v>810</v>
      </c>
      <c r="F87" s="3" t="s">
        <v>4485</v>
      </c>
      <c r="G87" s="3" t="str">
        <f>"00446851"</f>
        <v>00446851</v>
      </c>
    </row>
    <row r="88" spans="1:7" x14ac:dyDescent="0.25">
      <c r="A88" s="2">
        <v>87</v>
      </c>
      <c r="B88" s="3">
        <v>10687</v>
      </c>
      <c r="C88" s="5" t="s">
        <v>2614</v>
      </c>
      <c r="D88" s="5" t="s">
        <v>2613</v>
      </c>
      <c r="E88" s="5" t="s">
        <v>44</v>
      </c>
      <c r="F88" s="3" t="s">
        <v>2615</v>
      </c>
      <c r="G88" s="3" t="str">
        <f>"00736094"</f>
        <v>00736094</v>
      </c>
    </row>
    <row r="89" spans="1:7" x14ac:dyDescent="0.25">
      <c r="A89" s="2">
        <v>88</v>
      </c>
      <c r="B89" s="3">
        <v>998</v>
      </c>
      <c r="C89" s="5" t="s">
        <v>1078</v>
      </c>
      <c r="D89" s="5" t="s">
        <v>32</v>
      </c>
      <c r="E89" s="5" t="s">
        <v>52</v>
      </c>
      <c r="F89" s="3" t="s">
        <v>1079</v>
      </c>
      <c r="G89" s="3" t="str">
        <f>"00981365"</f>
        <v>00981365</v>
      </c>
    </row>
    <row r="90" spans="1:7" x14ac:dyDescent="0.25">
      <c r="A90" s="2">
        <v>89</v>
      </c>
      <c r="B90" s="3">
        <v>694</v>
      </c>
      <c r="C90" s="5" t="s">
        <v>2871</v>
      </c>
      <c r="D90" s="5" t="s">
        <v>126</v>
      </c>
      <c r="E90" s="5" t="s">
        <v>382</v>
      </c>
      <c r="F90" s="3" t="s">
        <v>2872</v>
      </c>
      <c r="G90" s="3" t="str">
        <f>"00742467"</f>
        <v>00742467</v>
      </c>
    </row>
    <row r="91" spans="1:7" x14ac:dyDescent="0.25">
      <c r="A91" s="2">
        <v>90</v>
      </c>
      <c r="B91" s="3">
        <v>9760</v>
      </c>
      <c r="C91" s="5" t="s">
        <v>2434</v>
      </c>
      <c r="D91" s="5" t="s">
        <v>2433</v>
      </c>
      <c r="E91" s="5" t="s">
        <v>87</v>
      </c>
      <c r="F91" s="3" t="s">
        <v>2435</v>
      </c>
      <c r="G91" s="3" t="str">
        <f>"00781469"</f>
        <v>00781469</v>
      </c>
    </row>
    <row r="92" spans="1:7" x14ac:dyDescent="0.25">
      <c r="A92" s="2">
        <v>91</v>
      </c>
      <c r="B92" s="3">
        <v>6637</v>
      </c>
      <c r="C92" s="5" t="s">
        <v>3627</v>
      </c>
      <c r="D92" s="5" t="s">
        <v>184</v>
      </c>
      <c r="E92" s="5" t="s">
        <v>4870</v>
      </c>
      <c r="F92" s="3" t="s">
        <v>3628</v>
      </c>
      <c r="G92" s="3" t="str">
        <f>"201409005130"</f>
        <v>201409005130</v>
      </c>
    </row>
    <row r="93" spans="1:7" x14ac:dyDescent="0.25">
      <c r="A93" s="2">
        <v>92</v>
      </c>
      <c r="B93" s="3">
        <v>10904</v>
      </c>
      <c r="C93" s="5" t="s">
        <v>2119</v>
      </c>
      <c r="D93" s="5" t="s">
        <v>99</v>
      </c>
      <c r="E93" s="5" t="s">
        <v>87</v>
      </c>
      <c r="F93" s="3" t="s">
        <v>2120</v>
      </c>
      <c r="G93" s="3" t="str">
        <f>"00806054"</f>
        <v>00806054</v>
      </c>
    </row>
    <row r="94" spans="1:7" x14ac:dyDescent="0.25">
      <c r="A94" s="2">
        <v>93</v>
      </c>
      <c r="B94" s="3">
        <v>8269</v>
      </c>
      <c r="C94" s="5" t="s">
        <v>2282</v>
      </c>
      <c r="D94" s="5" t="s">
        <v>545</v>
      </c>
      <c r="E94" s="5" t="s">
        <v>129</v>
      </c>
      <c r="F94" s="3" t="s">
        <v>2283</v>
      </c>
      <c r="G94" s="3" t="str">
        <f>"01012209"</f>
        <v>01012209</v>
      </c>
    </row>
    <row r="95" spans="1:7" x14ac:dyDescent="0.25">
      <c r="A95" s="2">
        <v>94</v>
      </c>
      <c r="B95" s="3">
        <v>6828</v>
      </c>
      <c r="C95" s="5" t="s">
        <v>4330</v>
      </c>
      <c r="D95" s="5" t="s">
        <v>5</v>
      </c>
      <c r="E95" s="5" t="s">
        <v>44</v>
      </c>
      <c r="F95" s="3" t="s">
        <v>4331</v>
      </c>
      <c r="G95" s="3" t="str">
        <f>"00991794"</f>
        <v>00991794</v>
      </c>
    </row>
    <row r="96" spans="1:7" x14ac:dyDescent="0.25">
      <c r="A96" s="2">
        <v>95</v>
      </c>
      <c r="B96" s="3">
        <v>5579</v>
      </c>
      <c r="C96" s="5" t="s">
        <v>4143</v>
      </c>
      <c r="D96" s="5" t="s">
        <v>129</v>
      </c>
      <c r="E96" s="5" t="s">
        <v>14</v>
      </c>
      <c r="F96" s="3" t="s">
        <v>4144</v>
      </c>
      <c r="G96" s="3" t="str">
        <f>"00987460"</f>
        <v>00987460</v>
      </c>
    </row>
    <row r="97" spans="1:7" x14ac:dyDescent="0.25">
      <c r="A97" s="2">
        <v>96</v>
      </c>
      <c r="B97" s="3">
        <v>12755</v>
      </c>
      <c r="C97" s="5" t="s">
        <v>2003</v>
      </c>
      <c r="D97" s="5" t="s">
        <v>11</v>
      </c>
      <c r="E97" s="5" t="s">
        <v>14</v>
      </c>
      <c r="F97" s="3" t="s">
        <v>2004</v>
      </c>
      <c r="G97" s="3" t="str">
        <f>"00969010"</f>
        <v>00969010</v>
      </c>
    </row>
    <row r="98" spans="1:7" x14ac:dyDescent="0.25">
      <c r="A98" s="2">
        <v>97</v>
      </c>
      <c r="B98" s="3">
        <v>6743</v>
      </c>
      <c r="C98" s="5" t="s">
        <v>4548</v>
      </c>
      <c r="D98" s="5" t="s">
        <v>129</v>
      </c>
      <c r="E98" s="5" t="s">
        <v>52</v>
      </c>
      <c r="F98" s="3" t="s">
        <v>4549</v>
      </c>
      <c r="G98" s="3" t="str">
        <f>"00015414"</f>
        <v>00015414</v>
      </c>
    </row>
    <row r="99" spans="1:7" x14ac:dyDescent="0.25">
      <c r="A99" s="2">
        <v>98</v>
      </c>
      <c r="B99" s="3">
        <v>11990</v>
      </c>
      <c r="C99" s="5" t="s">
        <v>3436</v>
      </c>
      <c r="D99" s="5" t="s">
        <v>1212</v>
      </c>
      <c r="E99" s="5" t="s">
        <v>545</v>
      </c>
      <c r="F99" s="3" t="s">
        <v>3437</v>
      </c>
      <c r="G99" s="3" t="str">
        <f>"00926677"</f>
        <v>00926677</v>
      </c>
    </row>
    <row r="100" spans="1:7" x14ac:dyDescent="0.25">
      <c r="A100" s="2">
        <v>99</v>
      </c>
      <c r="B100" s="3">
        <v>11513</v>
      </c>
      <c r="C100" s="5" t="s">
        <v>1780</v>
      </c>
      <c r="D100" s="5" t="s">
        <v>52</v>
      </c>
      <c r="E100" s="5" t="s">
        <v>41</v>
      </c>
      <c r="F100" s="3" t="s">
        <v>1781</v>
      </c>
      <c r="G100" s="3" t="str">
        <f>"00977164"</f>
        <v>00977164</v>
      </c>
    </row>
    <row r="101" spans="1:7" x14ac:dyDescent="0.25">
      <c r="A101" s="2">
        <v>100</v>
      </c>
      <c r="B101" s="3">
        <v>2807</v>
      </c>
      <c r="C101" s="5" t="s">
        <v>2842</v>
      </c>
      <c r="D101" s="5" t="s">
        <v>457</v>
      </c>
      <c r="E101" s="5" t="s">
        <v>70</v>
      </c>
      <c r="F101" s="3" t="s">
        <v>2843</v>
      </c>
      <c r="G101" s="3" t="str">
        <f>"00739648"</f>
        <v>00739648</v>
      </c>
    </row>
    <row r="102" spans="1:7" x14ac:dyDescent="0.25">
      <c r="A102" s="2">
        <v>101</v>
      </c>
      <c r="B102" s="3">
        <v>6114</v>
      </c>
      <c r="C102" s="5" t="s">
        <v>1380</v>
      </c>
      <c r="D102" s="5" t="s">
        <v>1379</v>
      </c>
      <c r="E102" s="5" t="s">
        <v>27</v>
      </c>
      <c r="F102" s="3" t="s">
        <v>1381</v>
      </c>
      <c r="G102" s="3" t="str">
        <f>"201402005063"</f>
        <v>201402005063</v>
      </c>
    </row>
    <row r="103" spans="1:7" x14ac:dyDescent="0.25">
      <c r="A103" s="2">
        <v>102</v>
      </c>
      <c r="B103" s="3">
        <v>11451</v>
      </c>
      <c r="C103" s="5" t="s">
        <v>3152</v>
      </c>
      <c r="D103" s="5" t="s">
        <v>44</v>
      </c>
      <c r="E103" s="5" t="s">
        <v>11</v>
      </c>
      <c r="F103" s="3" t="s">
        <v>4159</v>
      </c>
      <c r="G103" s="3" t="str">
        <f>"00976087"</f>
        <v>00976087</v>
      </c>
    </row>
    <row r="104" spans="1:7" x14ac:dyDescent="0.25">
      <c r="A104" s="2">
        <v>103</v>
      </c>
      <c r="B104" s="3">
        <v>11510</v>
      </c>
      <c r="C104" s="5" t="s">
        <v>3152</v>
      </c>
      <c r="D104" s="5" t="s">
        <v>5</v>
      </c>
      <c r="E104" s="5" t="s">
        <v>14</v>
      </c>
      <c r="F104" s="3" t="s">
        <v>3153</v>
      </c>
      <c r="G104" s="3" t="str">
        <f>"00117279"</f>
        <v>00117279</v>
      </c>
    </row>
    <row r="105" spans="1:7" x14ac:dyDescent="0.25">
      <c r="A105" s="2">
        <v>104</v>
      </c>
      <c r="B105" s="3">
        <v>11589</v>
      </c>
      <c r="C105" s="5" t="s">
        <v>842</v>
      </c>
      <c r="D105" s="5" t="s">
        <v>107</v>
      </c>
      <c r="E105" s="5" t="s">
        <v>207</v>
      </c>
      <c r="F105" s="3" t="s">
        <v>843</v>
      </c>
      <c r="G105" s="3" t="str">
        <f>"01016937"</f>
        <v>01016937</v>
      </c>
    </row>
    <row r="106" spans="1:7" x14ac:dyDescent="0.25">
      <c r="A106" s="2">
        <v>105</v>
      </c>
      <c r="B106" s="3">
        <v>12529</v>
      </c>
      <c r="C106" s="5" t="s">
        <v>3189</v>
      </c>
      <c r="D106" s="5" t="s">
        <v>539</v>
      </c>
      <c r="E106" s="5" t="s">
        <v>1746</v>
      </c>
      <c r="F106" s="3" t="s">
        <v>3190</v>
      </c>
      <c r="G106" s="3" t="str">
        <f>"00789785"</f>
        <v>00789785</v>
      </c>
    </row>
    <row r="107" spans="1:7" x14ac:dyDescent="0.25">
      <c r="A107" s="2">
        <v>106</v>
      </c>
      <c r="B107" s="3">
        <v>860</v>
      </c>
      <c r="C107" s="5" t="s">
        <v>1599</v>
      </c>
      <c r="D107" s="5" t="s">
        <v>1598</v>
      </c>
      <c r="E107" s="5" t="s">
        <v>87</v>
      </c>
      <c r="F107" s="3" t="s">
        <v>1600</v>
      </c>
      <c r="G107" s="3" t="str">
        <f>"01015688"</f>
        <v>01015688</v>
      </c>
    </row>
    <row r="108" spans="1:7" x14ac:dyDescent="0.25">
      <c r="A108" s="2">
        <v>107</v>
      </c>
      <c r="B108" s="3">
        <v>1146</v>
      </c>
      <c r="C108" s="5" t="s">
        <v>290</v>
      </c>
      <c r="D108" s="5" t="s">
        <v>44</v>
      </c>
      <c r="E108" s="5" t="s">
        <v>87</v>
      </c>
      <c r="F108" s="3">
        <v>90606</v>
      </c>
      <c r="G108" s="3" t="str">
        <f>"01013599"</f>
        <v>01013599</v>
      </c>
    </row>
    <row r="109" spans="1:7" x14ac:dyDescent="0.25">
      <c r="A109" s="2">
        <v>108</v>
      </c>
      <c r="B109" s="3">
        <v>9616</v>
      </c>
      <c r="C109" s="5" t="s">
        <v>436</v>
      </c>
      <c r="D109" s="5" t="s">
        <v>52</v>
      </c>
      <c r="E109" s="5" t="s">
        <v>284</v>
      </c>
      <c r="F109" s="3" t="s">
        <v>437</v>
      </c>
      <c r="G109" s="3" t="str">
        <f>"00718708"</f>
        <v>00718708</v>
      </c>
    </row>
    <row r="110" spans="1:7" x14ac:dyDescent="0.25">
      <c r="A110" s="2">
        <v>109</v>
      </c>
      <c r="B110" s="3">
        <v>10693</v>
      </c>
      <c r="C110" s="5" t="s">
        <v>436</v>
      </c>
      <c r="D110" s="5" t="s">
        <v>424</v>
      </c>
      <c r="E110" s="5" t="s">
        <v>14</v>
      </c>
      <c r="F110" s="3" t="s">
        <v>4688</v>
      </c>
      <c r="G110" s="3" t="str">
        <f>"201410008206"</f>
        <v>201410008206</v>
      </c>
    </row>
    <row r="111" spans="1:7" x14ac:dyDescent="0.25">
      <c r="A111" s="2">
        <v>110</v>
      </c>
      <c r="B111" s="3">
        <v>6886</v>
      </c>
      <c r="C111" s="5" t="s">
        <v>436</v>
      </c>
      <c r="D111" s="5" t="s">
        <v>5</v>
      </c>
      <c r="E111" s="5" t="s">
        <v>2786</v>
      </c>
      <c r="F111" s="3">
        <v>710680016</v>
      </c>
      <c r="G111" s="3" t="str">
        <f>"01016680"</f>
        <v>01016680</v>
      </c>
    </row>
    <row r="112" spans="1:7" x14ac:dyDescent="0.25">
      <c r="A112" s="2">
        <v>111</v>
      </c>
      <c r="B112" s="3">
        <v>10701</v>
      </c>
      <c r="C112" s="5" t="s">
        <v>241</v>
      </c>
      <c r="D112" s="5" t="s">
        <v>240</v>
      </c>
      <c r="E112" s="5" t="s">
        <v>44</v>
      </c>
      <c r="F112" s="3" t="s">
        <v>242</v>
      </c>
      <c r="G112" s="3" t="str">
        <f>"00777353"</f>
        <v>00777353</v>
      </c>
    </row>
    <row r="113" spans="1:7" x14ac:dyDescent="0.25">
      <c r="A113" s="2">
        <v>112</v>
      </c>
      <c r="B113" s="3">
        <v>2879</v>
      </c>
      <c r="C113" s="5" t="s">
        <v>241</v>
      </c>
      <c r="D113" s="5" t="s">
        <v>457</v>
      </c>
      <c r="E113" s="5" t="s">
        <v>44</v>
      </c>
      <c r="F113" s="3" t="s">
        <v>1128</v>
      </c>
      <c r="G113" s="3" t="str">
        <f>"201511028592"</f>
        <v>201511028592</v>
      </c>
    </row>
    <row r="114" spans="1:7" x14ac:dyDescent="0.25">
      <c r="A114" s="2">
        <v>113</v>
      </c>
      <c r="B114" s="3">
        <v>6620</v>
      </c>
      <c r="C114" s="5" t="s">
        <v>251</v>
      </c>
      <c r="D114" s="5" t="s">
        <v>416</v>
      </c>
      <c r="E114" s="5" t="s">
        <v>4874</v>
      </c>
      <c r="F114" s="3" t="s">
        <v>3173</v>
      </c>
      <c r="G114" s="3" t="str">
        <f>"00482565"</f>
        <v>00482565</v>
      </c>
    </row>
    <row r="115" spans="1:7" x14ac:dyDescent="0.25">
      <c r="A115" s="2">
        <v>114</v>
      </c>
      <c r="B115" s="3">
        <v>9475</v>
      </c>
      <c r="C115" s="5" t="s">
        <v>251</v>
      </c>
      <c r="D115" s="5" t="s">
        <v>3077</v>
      </c>
      <c r="E115" s="5" t="s">
        <v>252</v>
      </c>
      <c r="F115" s="3" t="s">
        <v>3078</v>
      </c>
      <c r="G115" s="3" t="str">
        <f>"00546893"</f>
        <v>00546893</v>
      </c>
    </row>
    <row r="116" spans="1:7" x14ac:dyDescent="0.25">
      <c r="A116" s="2">
        <v>115</v>
      </c>
      <c r="B116" s="3">
        <v>10015</v>
      </c>
      <c r="C116" s="5" t="s">
        <v>251</v>
      </c>
      <c r="D116" s="5" t="s">
        <v>32</v>
      </c>
      <c r="E116" s="5" t="s">
        <v>284</v>
      </c>
      <c r="F116" s="3">
        <v>710548</v>
      </c>
      <c r="G116" s="3" t="str">
        <f>"00448753"</f>
        <v>00448753</v>
      </c>
    </row>
    <row r="117" spans="1:7" x14ac:dyDescent="0.25">
      <c r="A117" s="2">
        <v>116</v>
      </c>
      <c r="B117" s="3">
        <v>2978</v>
      </c>
      <c r="C117" s="5" t="s">
        <v>251</v>
      </c>
      <c r="D117" s="5" t="s">
        <v>52</v>
      </c>
      <c r="E117" s="5" t="s">
        <v>284</v>
      </c>
      <c r="F117" s="3" t="s">
        <v>2718</v>
      </c>
      <c r="G117" s="3" t="str">
        <f>"00551248"</f>
        <v>00551248</v>
      </c>
    </row>
    <row r="118" spans="1:7" x14ac:dyDescent="0.25">
      <c r="A118" s="2">
        <v>117</v>
      </c>
      <c r="B118" s="3">
        <v>10257</v>
      </c>
      <c r="C118" s="5" t="s">
        <v>4157</v>
      </c>
      <c r="D118" s="5" t="s">
        <v>4156</v>
      </c>
      <c r="E118" s="5" t="s">
        <v>38</v>
      </c>
      <c r="F118" s="3" t="s">
        <v>4158</v>
      </c>
      <c r="G118" s="3" t="str">
        <f>"00983997"</f>
        <v>00983997</v>
      </c>
    </row>
    <row r="119" spans="1:7" x14ac:dyDescent="0.25">
      <c r="A119" s="2">
        <v>118</v>
      </c>
      <c r="B119" s="3">
        <v>6930</v>
      </c>
      <c r="C119" s="5" t="s">
        <v>4470</v>
      </c>
      <c r="D119" s="5" t="s">
        <v>545</v>
      </c>
      <c r="E119" s="5" t="s">
        <v>588</v>
      </c>
      <c r="F119" s="3" t="s">
        <v>4471</v>
      </c>
      <c r="G119" s="3" t="str">
        <f>"201604003694"</f>
        <v>201604003694</v>
      </c>
    </row>
    <row r="120" spans="1:7" x14ac:dyDescent="0.25">
      <c r="A120" s="2">
        <v>119</v>
      </c>
      <c r="B120" s="3">
        <v>12172</v>
      </c>
      <c r="C120" s="5" t="s">
        <v>2891</v>
      </c>
      <c r="D120" s="5" t="s">
        <v>2020</v>
      </c>
      <c r="E120" s="5" t="s">
        <v>11</v>
      </c>
      <c r="F120" s="3" t="s">
        <v>2892</v>
      </c>
      <c r="G120" s="3" t="str">
        <f>"00015407"</f>
        <v>00015407</v>
      </c>
    </row>
    <row r="121" spans="1:7" x14ac:dyDescent="0.25">
      <c r="A121" s="2">
        <v>120</v>
      </c>
      <c r="B121" s="3">
        <v>8802</v>
      </c>
      <c r="C121" s="5" t="s">
        <v>249</v>
      </c>
      <c r="D121" s="5" t="s">
        <v>126</v>
      </c>
      <c r="E121" s="5" t="s">
        <v>82</v>
      </c>
      <c r="F121" s="3" t="s">
        <v>250</v>
      </c>
      <c r="G121" s="3" t="str">
        <f>"00984127"</f>
        <v>00984127</v>
      </c>
    </row>
    <row r="122" spans="1:7" x14ac:dyDescent="0.25">
      <c r="A122" s="2">
        <v>121</v>
      </c>
      <c r="B122" s="3">
        <v>6698</v>
      </c>
      <c r="C122" s="5" t="s">
        <v>278</v>
      </c>
      <c r="D122" s="5" t="s">
        <v>113</v>
      </c>
      <c r="E122" s="5" t="s">
        <v>11</v>
      </c>
      <c r="F122" s="3" t="s">
        <v>279</v>
      </c>
      <c r="G122" s="3" t="str">
        <f>"00793422"</f>
        <v>00793422</v>
      </c>
    </row>
    <row r="123" spans="1:7" x14ac:dyDescent="0.25">
      <c r="A123" s="2">
        <v>122</v>
      </c>
      <c r="B123" s="3">
        <v>10676</v>
      </c>
      <c r="C123" s="5" t="s">
        <v>2493</v>
      </c>
      <c r="D123" s="5" t="s">
        <v>66</v>
      </c>
      <c r="E123" s="5" t="s">
        <v>667</v>
      </c>
      <c r="F123" s="3" t="s">
        <v>2494</v>
      </c>
      <c r="G123" s="3" t="str">
        <f>"00446886"</f>
        <v>00446886</v>
      </c>
    </row>
    <row r="124" spans="1:7" x14ac:dyDescent="0.25">
      <c r="A124" s="2">
        <v>123</v>
      </c>
      <c r="B124" s="3">
        <v>11047</v>
      </c>
      <c r="C124" s="5" t="s">
        <v>1395</v>
      </c>
      <c r="D124" s="5" t="s">
        <v>24</v>
      </c>
      <c r="E124" s="5" t="s">
        <v>11</v>
      </c>
      <c r="F124" s="3" t="s">
        <v>1396</v>
      </c>
      <c r="G124" s="3" t="str">
        <f>"00155088"</f>
        <v>00155088</v>
      </c>
    </row>
    <row r="125" spans="1:7" x14ac:dyDescent="0.25">
      <c r="A125" s="2">
        <v>124</v>
      </c>
      <c r="B125" s="3">
        <v>7534</v>
      </c>
      <c r="C125" s="5" t="s">
        <v>1419</v>
      </c>
      <c r="D125" s="5" t="s">
        <v>1318</v>
      </c>
      <c r="E125" s="5" t="s">
        <v>87</v>
      </c>
      <c r="F125" s="3" t="s">
        <v>1420</v>
      </c>
      <c r="G125" s="3" t="str">
        <f>"00912359"</f>
        <v>00912359</v>
      </c>
    </row>
    <row r="126" spans="1:7" x14ac:dyDescent="0.25">
      <c r="A126" s="2">
        <v>125</v>
      </c>
      <c r="B126" s="3">
        <v>9063</v>
      </c>
      <c r="C126" s="5" t="s">
        <v>1350</v>
      </c>
      <c r="D126" s="5" t="s">
        <v>11</v>
      </c>
      <c r="E126" s="5" t="s">
        <v>44</v>
      </c>
      <c r="F126" s="3" t="s">
        <v>1351</v>
      </c>
      <c r="G126" s="3" t="str">
        <f>"00984235"</f>
        <v>00984235</v>
      </c>
    </row>
    <row r="127" spans="1:7" x14ac:dyDescent="0.25">
      <c r="A127" s="2">
        <v>126</v>
      </c>
      <c r="B127" s="3">
        <v>1388</v>
      </c>
      <c r="C127" s="5" t="s">
        <v>79</v>
      </c>
      <c r="D127" s="5" t="s">
        <v>2076</v>
      </c>
      <c r="E127" s="5" t="s">
        <v>52</v>
      </c>
      <c r="F127" s="3" t="s">
        <v>4136</v>
      </c>
      <c r="G127" s="3" t="str">
        <f>"00447375"</f>
        <v>00447375</v>
      </c>
    </row>
    <row r="128" spans="1:7" x14ac:dyDescent="0.25">
      <c r="A128" s="2">
        <v>127</v>
      </c>
      <c r="B128" s="3">
        <v>4143</v>
      </c>
      <c r="C128" s="5" t="s">
        <v>1567</v>
      </c>
      <c r="D128" s="5" t="s">
        <v>14</v>
      </c>
      <c r="E128" s="5" t="s">
        <v>622</v>
      </c>
      <c r="F128" s="3">
        <v>15704</v>
      </c>
      <c r="G128" s="3" t="str">
        <f>"201412001130"</f>
        <v>201412001130</v>
      </c>
    </row>
    <row r="129" spans="1:7" x14ac:dyDescent="0.25">
      <c r="A129" s="2">
        <v>128</v>
      </c>
      <c r="B129" s="3">
        <v>5770</v>
      </c>
      <c r="C129" s="5" t="s">
        <v>1567</v>
      </c>
      <c r="D129" s="5" t="s">
        <v>118</v>
      </c>
      <c r="E129" s="5" t="s">
        <v>52</v>
      </c>
      <c r="F129" s="3" t="s">
        <v>1568</v>
      </c>
      <c r="G129" s="3" t="str">
        <f>"00691229"</f>
        <v>00691229</v>
      </c>
    </row>
    <row r="130" spans="1:7" x14ac:dyDescent="0.25">
      <c r="A130" s="2">
        <v>129</v>
      </c>
      <c r="B130" s="3">
        <v>10020</v>
      </c>
      <c r="C130" s="5" t="s">
        <v>3997</v>
      </c>
      <c r="D130" s="5" t="s">
        <v>3996</v>
      </c>
      <c r="E130" s="5" t="s">
        <v>5</v>
      </c>
      <c r="F130" s="3">
        <v>2014930</v>
      </c>
      <c r="G130" s="3" t="str">
        <f>"00723341"</f>
        <v>00723341</v>
      </c>
    </row>
    <row r="131" spans="1:7" x14ac:dyDescent="0.25">
      <c r="A131" s="2">
        <v>130</v>
      </c>
      <c r="B131" s="3">
        <v>12709</v>
      </c>
      <c r="C131" s="5" t="s">
        <v>3081</v>
      </c>
      <c r="D131" s="5" t="s">
        <v>3080</v>
      </c>
      <c r="E131" s="5" t="s">
        <v>87</v>
      </c>
      <c r="F131" s="3" t="s">
        <v>3082</v>
      </c>
      <c r="G131" s="3" t="str">
        <f>"00871580"</f>
        <v>00871580</v>
      </c>
    </row>
    <row r="132" spans="1:7" x14ac:dyDescent="0.25">
      <c r="A132" s="2">
        <v>131</v>
      </c>
      <c r="B132" s="3">
        <v>9455</v>
      </c>
      <c r="C132" s="5" t="s">
        <v>3081</v>
      </c>
      <c r="D132" s="5" t="s">
        <v>4186</v>
      </c>
      <c r="E132" s="5" t="s">
        <v>207</v>
      </c>
      <c r="F132" s="3" t="s">
        <v>4187</v>
      </c>
      <c r="G132" s="3" t="str">
        <f>"00040034"</f>
        <v>00040034</v>
      </c>
    </row>
    <row r="133" spans="1:7" x14ac:dyDescent="0.25">
      <c r="A133" s="2">
        <v>132</v>
      </c>
      <c r="B133" s="3">
        <v>10650</v>
      </c>
      <c r="C133" s="5" t="s">
        <v>2350</v>
      </c>
      <c r="D133" s="5" t="s">
        <v>428</v>
      </c>
      <c r="E133" s="5" t="s">
        <v>32</v>
      </c>
      <c r="F133" s="3" t="s">
        <v>2351</v>
      </c>
      <c r="G133" s="3" t="str">
        <f>"01013300"</f>
        <v>01013300</v>
      </c>
    </row>
    <row r="134" spans="1:7" x14ac:dyDescent="0.25">
      <c r="A134" s="2">
        <v>133</v>
      </c>
      <c r="B134" s="3">
        <v>423</v>
      </c>
      <c r="C134" s="5" t="s">
        <v>2766</v>
      </c>
      <c r="D134" s="5" t="s">
        <v>5</v>
      </c>
      <c r="E134" s="5" t="s">
        <v>87</v>
      </c>
      <c r="F134" s="3" t="s">
        <v>2767</v>
      </c>
      <c r="G134" s="3" t="str">
        <f>"00926787"</f>
        <v>00926787</v>
      </c>
    </row>
    <row r="135" spans="1:7" x14ac:dyDescent="0.25">
      <c r="A135" s="2">
        <v>134</v>
      </c>
      <c r="B135" s="3">
        <v>842</v>
      </c>
      <c r="C135" s="5" t="s">
        <v>4531</v>
      </c>
      <c r="D135" s="5" t="s">
        <v>4065</v>
      </c>
      <c r="E135" s="5" t="s">
        <v>87</v>
      </c>
      <c r="F135" s="3" t="s">
        <v>4532</v>
      </c>
      <c r="G135" s="3" t="str">
        <f>"201511038351"</f>
        <v>201511038351</v>
      </c>
    </row>
    <row r="136" spans="1:7" x14ac:dyDescent="0.25">
      <c r="A136" s="2">
        <v>135</v>
      </c>
      <c r="B136" s="3">
        <v>594</v>
      </c>
      <c r="C136" s="5" t="s">
        <v>909</v>
      </c>
      <c r="D136" s="5" t="s">
        <v>52</v>
      </c>
      <c r="E136" s="5" t="s">
        <v>87</v>
      </c>
      <c r="F136" s="3" t="s">
        <v>910</v>
      </c>
      <c r="G136" s="3" t="str">
        <f>"00328014"</f>
        <v>00328014</v>
      </c>
    </row>
    <row r="137" spans="1:7" x14ac:dyDescent="0.25">
      <c r="A137" s="2">
        <v>136</v>
      </c>
      <c r="B137" s="3">
        <v>4355</v>
      </c>
      <c r="C137" s="5" t="s">
        <v>2604</v>
      </c>
      <c r="D137" s="5" t="s">
        <v>87</v>
      </c>
      <c r="E137" s="5" t="s">
        <v>2406</v>
      </c>
      <c r="F137" s="3" t="s">
        <v>2605</v>
      </c>
      <c r="G137" s="3" t="str">
        <f>"00928665"</f>
        <v>00928665</v>
      </c>
    </row>
    <row r="138" spans="1:7" x14ac:dyDescent="0.25">
      <c r="A138" s="2">
        <v>137</v>
      </c>
      <c r="B138" s="3">
        <v>11173</v>
      </c>
      <c r="C138" s="5" t="s">
        <v>3683</v>
      </c>
      <c r="D138" s="5" t="s">
        <v>52</v>
      </c>
      <c r="E138" s="5" t="s">
        <v>372</v>
      </c>
      <c r="F138" s="3" t="s">
        <v>3684</v>
      </c>
      <c r="G138" s="3" t="str">
        <f>"00808790"</f>
        <v>00808790</v>
      </c>
    </row>
    <row r="139" spans="1:7" x14ac:dyDescent="0.25">
      <c r="A139" s="2">
        <v>138</v>
      </c>
      <c r="B139" s="3">
        <v>2797</v>
      </c>
      <c r="C139" s="5" t="s">
        <v>4264</v>
      </c>
      <c r="D139" s="5" t="s">
        <v>11</v>
      </c>
      <c r="E139" s="5" t="s">
        <v>3821</v>
      </c>
      <c r="F139" s="3">
        <v>2015290</v>
      </c>
      <c r="G139" s="3" t="str">
        <f>"00819297"</f>
        <v>00819297</v>
      </c>
    </row>
    <row r="140" spans="1:7" x14ac:dyDescent="0.25">
      <c r="A140" s="2">
        <v>139</v>
      </c>
      <c r="B140" s="3">
        <v>5185</v>
      </c>
      <c r="C140" s="5" t="s">
        <v>2538</v>
      </c>
      <c r="D140" s="5" t="s">
        <v>830</v>
      </c>
      <c r="E140" s="5" t="s">
        <v>14</v>
      </c>
      <c r="F140" s="3" t="s">
        <v>2539</v>
      </c>
      <c r="G140" s="3" t="str">
        <f>"00629548"</f>
        <v>00629548</v>
      </c>
    </row>
    <row r="141" spans="1:7" x14ac:dyDescent="0.25">
      <c r="A141" s="2">
        <v>140</v>
      </c>
      <c r="B141" s="3">
        <v>6631</v>
      </c>
      <c r="C141" s="5" t="s">
        <v>61</v>
      </c>
      <c r="D141" s="5" t="s">
        <v>284</v>
      </c>
      <c r="E141" s="5" t="s">
        <v>129</v>
      </c>
      <c r="F141" s="3" t="s">
        <v>2165</v>
      </c>
      <c r="G141" s="3" t="str">
        <f>"00945025"</f>
        <v>00945025</v>
      </c>
    </row>
    <row r="142" spans="1:7" x14ac:dyDescent="0.25">
      <c r="A142" s="2">
        <v>141</v>
      </c>
      <c r="B142" s="3">
        <v>2165</v>
      </c>
      <c r="C142" s="5" t="s">
        <v>61</v>
      </c>
      <c r="D142" s="5" t="s">
        <v>60</v>
      </c>
      <c r="E142" s="5" t="s">
        <v>11</v>
      </c>
      <c r="F142" s="3" t="s">
        <v>62</v>
      </c>
      <c r="G142" s="3" t="str">
        <f>"00986253"</f>
        <v>00986253</v>
      </c>
    </row>
    <row r="143" spans="1:7" x14ac:dyDescent="0.25">
      <c r="A143" s="2">
        <v>142</v>
      </c>
      <c r="B143" s="3">
        <v>3887</v>
      </c>
      <c r="C143" s="5" t="s">
        <v>3891</v>
      </c>
      <c r="D143" s="5" t="s">
        <v>3890</v>
      </c>
      <c r="E143" s="5" t="s">
        <v>38</v>
      </c>
      <c r="F143" s="3" t="s">
        <v>3892</v>
      </c>
      <c r="G143" s="3" t="str">
        <f>"00906714"</f>
        <v>00906714</v>
      </c>
    </row>
    <row r="144" spans="1:7" x14ac:dyDescent="0.25">
      <c r="A144" s="2">
        <v>143</v>
      </c>
      <c r="B144" s="3">
        <v>8729</v>
      </c>
      <c r="C144" s="5" t="s">
        <v>2489</v>
      </c>
      <c r="D144" s="5" t="s">
        <v>129</v>
      </c>
      <c r="E144" s="5" t="s">
        <v>52</v>
      </c>
      <c r="F144" s="3" t="s">
        <v>2490</v>
      </c>
      <c r="G144" s="3" t="str">
        <f>"01016991"</f>
        <v>01016991</v>
      </c>
    </row>
    <row r="145" spans="1:7" x14ac:dyDescent="0.25">
      <c r="A145" s="2">
        <v>144</v>
      </c>
      <c r="B145" s="3">
        <v>3012</v>
      </c>
      <c r="C145" s="5" t="s">
        <v>4670</v>
      </c>
      <c r="D145" s="5" t="s">
        <v>44</v>
      </c>
      <c r="E145" s="5" t="s">
        <v>27</v>
      </c>
      <c r="F145" s="3" t="s">
        <v>4671</v>
      </c>
      <c r="G145" s="3" t="str">
        <f>"00513785"</f>
        <v>00513785</v>
      </c>
    </row>
    <row r="146" spans="1:7" x14ac:dyDescent="0.25">
      <c r="A146" s="2">
        <v>145</v>
      </c>
      <c r="B146" s="3">
        <v>675</v>
      </c>
      <c r="C146" s="5" t="s">
        <v>3795</v>
      </c>
      <c r="D146" s="5" t="s">
        <v>129</v>
      </c>
      <c r="E146" s="5" t="s">
        <v>87</v>
      </c>
      <c r="F146" s="3" t="s">
        <v>3796</v>
      </c>
      <c r="G146" s="3" t="str">
        <f>"00981113"</f>
        <v>00981113</v>
      </c>
    </row>
    <row r="147" spans="1:7" x14ac:dyDescent="0.25">
      <c r="A147" s="2">
        <v>146</v>
      </c>
      <c r="B147" s="3">
        <v>12490</v>
      </c>
      <c r="C147" s="5" t="s">
        <v>1713</v>
      </c>
      <c r="D147" s="5" t="s">
        <v>1712</v>
      </c>
      <c r="E147" s="5" t="s">
        <v>4833</v>
      </c>
      <c r="F147" s="3" t="s">
        <v>1714</v>
      </c>
      <c r="G147" s="3" t="str">
        <f>"01016188"</f>
        <v>01016188</v>
      </c>
    </row>
    <row r="148" spans="1:7" x14ac:dyDescent="0.25">
      <c r="A148" s="2">
        <v>147</v>
      </c>
      <c r="B148" s="3">
        <v>8377</v>
      </c>
      <c r="C148" s="5" t="s">
        <v>3055</v>
      </c>
      <c r="D148" s="5" t="s">
        <v>87</v>
      </c>
      <c r="E148" s="5" t="s">
        <v>4871</v>
      </c>
      <c r="F148" s="3" t="s">
        <v>3056</v>
      </c>
      <c r="G148" s="3" t="str">
        <f>"00995888"</f>
        <v>00995888</v>
      </c>
    </row>
    <row r="149" spans="1:7" x14ac:dyDescent="0.25">
      <c r="A149" s="2">
        <v>148</v>
      </c>
      <c r="B149" s="3">
        <v>12966</v>
      </c>
      <c r="C149" s="5" t="s">
        <v>2210</v>
      </c>
      <c r="D149" s="5" t="s">
        <v>44</v>
      </c>
      <c r="E149" s="5" t="s">
        <v>129</v>
      </c>
      <c r="F149" s="3" t="s">
        <v>2211</v>
      </c>
      <c r="G149" s="3" t="str">
        <f>"00908352"</f>
        <v>00908352</v>
      </c>
    </row>
    <row r="150" spans="1:7" x14ac:dyDescent="0.25">
      <c r="A150" s="2">
        <v>149</v>
      </c>
      <c r="B150" s="3">
        <v>9854</v>
      </c>
      <c r="C150" s="5" t="s">
        <v>1332</v>
      </c>
      <c r="D150" s="5" t="s">
        <v>35</v>
      </c>
      <c r="E150" s="5" t="s">
        <v>129</v>
      </c>
      <c r="F150" s="3" t="s">
        <v>1333</v>
      </c>
      <c r="G150" s="3" t="str">
        <f>"00981211"</f>
        <v>00981211</v>
      </c>
    </row>
    <row r="151" spans="1:7" x14ac:dyDescent="0.25">
      <c r="A151" s="2">
        <v>150</v>
      </c>
      <c r="B151" s="3">
        <v>8819</v>
      </c>
      <c r="C151" s="5" t="s">
        <v>3403</v>
      </c>
      <c r="D151" s="5" t="s">
        <v>11</v>
      </c>
      <c r="E151" s="5" t="s">
        <v>2017</v>
      </c>
      <c r="F151" s="3" t="s">
        <v>3404</v>
      </c>
      <c r="G151" s="3" t="str">
        <f>"01008407"</f>
        <v>01008407</v>
      </c>
    </row>
    <row r="152" spans="1:7" x14ac:dyDescent="0.25">
      <c r="A152" s="2">
        <v>151</v>
      </c>
      <c r="B152" s="3">
        <v>9441</v>
      </c>
      <c r="C152" s="5" t="s">
        <v>4006</v>
      </c>
      <c r="D152" s="5" t="s">
        <v>129</v>
      </c>
      <c r="E152" s="5" t="s">
        <v>87</v>
      </c>
      <c r="F152" s="3" t="s">
        <v>4007</v>
      </c>
      <c r="G152" s="3" t="str">
        <f>"00976671"</f>
        <v>00976671</v>
      </c>
    </row>
    <row r="153" spans="1:7" x14ac:dyDescent="0.25">
      <c r="A153" s="2">
        <v>152</v>
      </c>
      <c r="B153" s="3">
        <v>1181</v>
      </c>
      <c r="C153" s="5" t="s">
        <v>2678</v>
      </c>
      <c r="D153" s="5" t="s">
        <v>2677</v>
      </c>
      <c r="E153" s="5" t="s">
        <v>87</v>
      </c>
      <c r="F153" s="3" t="s">
        <v>2679</v>
      </c>
      <c r="G153" s="3" t="str">
        <f>"01011206"</f>
        <v>01011206</v>
      </c>
    </row>
    <row r="154" spans="1:7" x14ac:dyDescent="0.25">
      <c r="A154" s="2">
        <v>153</v>
      </c>
      <c r="B154" s="3">
        <v>4199</v>
      </c>
      <c r="C154" s="5" t="s">
        <v>4238</v>
      </c>
      <c r="D154" s="5" t="s">
        <v>87</v>
      </c>
      <c r="E154" s="5" t="s">
        <v>1139</v>
      </c>
      <c r="F154" s="3" t="s">
        <v>4239</v>
      </c>
      <c r="G154" s="3" t="str">
        <f>"01015160"</f>
        <v>01015160</v>
      </c>
    </row>
    <row r="155" spans="1:7" x14ac:dyDescent="0.25">
      <c r="A155" s="2">
        <v>154</v>
      </c>
      <c r="B155" s="3">
        <v>4201</v>
      </c>
      <c r="C155" s="5" t="s">
        <v>3985</v>
      </c>
      <c r="D155" s="5" t="s">
        <v>5</v>
      </c>
      <c r="E155" s="5" t="s">
        <v>11</v>
      </c>
      <c r="F155" s="3" t="s">
        <v>3986</v>
      </c>
      <c r="G155" s="3" t="str">
        <f>"00829257"</f>
        <v>00829257</v>
      </c>
    </row>
    <row r="156" spans="1:7" x14ac:dyDescent="0.25">
      <c r="A156" s="2">
        <v>155</v>
      </c>
      <c r="B156" s="3">
        <v>5882</v>
      </c>
      <c r="C156" s="5" t="s">
        <v>1088</v>
      </c>
      <c r="D156" s="5" t="s">
        <v>1087</v>
      </c>
      <c r="E156" s="5" t="s">
        <v>91</v>
      </c>
      <c r="F156" s="3" t="s">
        <v>1089</v>
      </c>
      <c r="G156" s="3" t="str">
        <f>"00391811"</f>
        <v>00391811</v>
      </c>
    </row>
    <row r="157" spans="1:7" x14ac:dyDescent="0.25">
      <c r="A157" s="2">
        <v>156</v>
      </c>
      <c r="B157" s="3">
        <v>404</v>
      </c>
      <c r="C157" s="5" t="s">
        <v>1596</v>
      </c>
      <c r="D157" s="5" t="s">
        <v>27</v>
      </c>
      <c r="E157" s="5" t="s">
        <v>44</v>
      </c>
      <c r="F157" s="3" t="s">
        <v>1597</v>
      </c>
      <c r="G157" s="3" t="str">
        <f>"00968640"</f>
        <v>00968640</v>
      </c>
    </row>
    <row r="158" spans="1:7" x14ac:dyDescent="0.25">
      <c r="A158" s="2">
        <v>157</v>
      </c>
      <c r="B158" s="3">
        <v>3532</v>
      </c>
      <c r="C158" s="5" t="s">
        <v>1608</v>
      </c>
      <c r="D158" s="5" t="s">
        <v>1607</v>
      </c>
      <c r="E158" s="5" t="s">
        <v>52</v>
      </c>
      <c r="F158" s="3" t="s">
        <v>1609</v>
      </c>
      <c r="G158" s="3" t="str">
        <f>"00915872"</f>
        <v>00915872</v>
      </c>
    </row>
    <row r="159" spans="1:7" x14ac:dyDescent="0.25">
      <c r="A159" s="2">
        <v>158</v>
      </c>
      <c r="B159" s="3">
        <v>230</v>
      </c>
      <c r="C159" s="5" t="s">
        <v>4193</v>
      </c>
      <c r="D159" s="5" t="s">
        <v>1746</v>
      </c>
      <c r="E159" s="5" t="s">
        <v>129</v>
      </c>
      <c r="F159" s="3" t="s">
        <v>4194</v>
      </c>
      <c r="G159" s="3" t="str">
        <f>"01016218"</f>
        <v>01016218</v>
      </c>
    </row>
    <row r="160" spans="1:7" x14ac:dyDescent="0.25">
      <c r="A160" s="2">
        <v>159</v>
      </c>
      <c r="B160" s="3">
        <v>6644</v>
      </c>
      <c r="C160" s="5" t="s">
        <v>2050</v>
      </c>
      <c r="D160" s="5" t="s">
        <v>14</v>
      </c>
      <c r="E160" s="5" t="s">
        <v>52</v>
      </c>
      <c r="F160" s="3" t="s">
        <v>2051</v>
      </c>
      <c r="G160" s="3" t="str">
        <f>"00983791"</f>
        <v>00983791</v>
      </c>
    </row>
    <row r="161" spans="1:7" x14ac:dyDescent="0.25">
      <c r="A161" s="2">
        <v>160</v>
      </c>
      <c r="B161" s="3">
        <v>9339</v>
      </c>
      <c r="C161" s="5" t="s">
        <v>3493</v>
      </c>
      <c r="D161" s="5" t="s">
        <v>3492</v>
      </c>
      <c r="E161" s="5" t="s">
        <v>38</v>
      </c>
      <c r="F161" s="3" t="s">
        <v>3494</v>
      </c>
      <c r="G161" s="3" t="str">
        <f>"00985357"</f>
        <v>00985357</v>
      </c>
    </row>
    <row r="162" spans="1:7" x14ac:dyDescent="0.25">
      <c r="A162" s="2">
        <v>161</v>
      </c>
      <c r="B162" s="3">
        <v>6585</v>
      </c>
      <c r="C162" s="5" t="s">
        <v>3581</v>
      </c>
      <c r="D162" s="5" t="s">
        <v>358</v>
      </c>
      <c r="E162" s="5" t="s">
        <v>129</v>
      </c>
      <c r="F162" s="3" t="s">
        <v>3582</v>
      </c>
      <c r="G162" s="3" t="str">
        <f>"00490728"</f>
        <v>00490728</v>
      </c>
    </row>
    <row r="163" spans="1:7" x14ac:dyDescent="0.25">
      <c r="A163" s="2">
        <v>162</v>
      </c>
      <c r="B163" s="3">
        <v>5958</v>
      </c>
      <c r="C163" s="5" t="s">
        <v>1517</v>
      </c>
      <c r="D163" s="5" t="s">
        <v>1516</v>
      </c>
      <c r="E163" s="5" t="s">
        <v>5</v>
      </c>
      <c r="F163" s="3" t="s">
        <v>1518</v>
      </c>
      <c r="G163" s="3" t="str">
        <f>"01016971"</f>
        <v>01016971</v>
      </c>
    </row>
    <row r="164" spans="1:7" x14ac:dyDescent="0.25">
      <c r="A164" s="2">
        <v>163</v>
      </c>
      <c r="B164" s="3">
        <v>7664</v>
      </c>
      <c r="C164" s="5" t="s">
        <v>4770</v>
      </c>
      <c r="D164" s="5" t="s">
        <v>4769</v>
      </c>
      <c r="E164" s="5" t="s">
        <v>2076</v>
      </c>
      <c r="F164" s="3" t="s">
        <v>4771</v>
      </c>
      <c r="G164" s="3" t="str">
        <f>"00547344"</f>
        <v>00547344</v>
      </c>
    </row>
    <row r="165" spans="1:7" x14ac:dyDescent="0.25">
      <c r="A165" s="2">
        <v>164</v>
      </c>
      <c r="B165" s="3">
        <v>11143</v>
      </c>
      <c r="C165" s="5" t="s">
        <v>1232</v>
      </c>
      <c r="D165" s="5" t="s">
        <v>162</v>
      </c>
      <c r="E165" s="5" t="s">
        <v>284</v>
      </c>
      <c r="F165" s="3" t="s">
        <v>1233</v>
      </c>
      <c r="G165" s="3" t="str">
        <f>"00926113"</f>
        <v>00926113</v>
      </c>
    </row>
    <row r="166" spans="1:7" x14ac:dyDescent="0.25">
      <c r="A166" s="2">
        <v>165</v>
      </c>
      <c r="B166" s="3">
        <v>7069</v>
      </c>
      <c r="C166" s="5" t="s">
        <v>2370</v>
      </c>
      <c r="D166" s="5" t="s">
        <v>32</v>
      </c>
      <c r="E166" s="5" t="s">
        <v>11</v>
      </c>
      <c r="F166" s="3" t="s">
        <v>2371</v>
      </c>
      <c r="G166" s="3" t="str">
        <f>"00984377"</f>
        <v>00984377</v>
      </c>
    </row>
    <row r="167" spans="1:7" x14ac:dyDescent="0.25">
      <c r="A167" s="2">
        <v>166</v>
      </c>
      <c r="B167" s="3">
        <v>9719</v>
      </c>
      <c r="C167" s="5" t="s">
        <v>1910</v>
      </c>
      <c r="D167" s="5" t="s">
        <v>87</v>
      </c>
      <c r="E167" s="5" t="s">
        <v>135</v>
      </c>
      <c r="F167" s="3" t="s">
        <v>1911</v>
      </c>
      <c r="G167" s="3" t="str">
        <f>"00983758"</f>
        <v>00983758</v>
      </c>
    </row>
    <row r="168" spans="1:7" x14ac:dyDescent="0.25">
      <c r="A168" s="2">
        <v>167</v>
      </c>
      <c r="B168" s="3">
        <v>4118</v>
      </c>
      <c r="C168" s="5" t="s">
        <v>3733</v>
      </c>
      <c r="D168" s="5" t="s">
        <v>66</v>
      </c>
      <c r="E168" s="5" t="s">
        <v>424</v>
      </c>
      <c r="F168" s="3" t="s">
        <v>3734</v>
      </c>
      <c r="G168" s="3" t="str">
        <f>"201406000532"</f>
        <v>201406000532</v>
      </c>
    </row>
    <row r="169" spans="1:7" x14ac:dyDescent="0.25">
      <c r="A169" s="2">
        <v>168</v>
      </c>
      <c r="B169" s="3">
        <v>10940</v>
      </c>
      <c r="C169" s="5" t="s">
        <v>2670</v>
      </c>
      <c r="D169" s="5" t="s">
        <v>44</v>
      </c>
      <c r="E169" s="5" t="s">
        <v>635</v>
      </c>
      <c r="F169" s="3" t="s">
        <v>2671</v>
      </c>
      <c r="G169" s="3" t="str">
        <f>"01015000"</f>
        <v>01015000</v>
      </c>
    </row>
    <row r="170" spans="1:7" x14ac:dyDescent="0.25">
      <c r="A170" s="2">
        <v>169</v>
      </c>
      <c r="B170" s="3">
        <v>1610</v>
      </c>
      <c r="C170" s="5" t="s">
        <v>4173</v>
      </c>
      <c r="D170" s="5" t="s">
        <v>63</v>
      </c>
      <c r="E170" s="5" t="s">
        <v>63</v>
      </c>
      <c r="F170" s="3" t="s">
        <v>4174</v>
      </c>
      <c r="G170" s="3" t="str">
        <f>"01013841"</f>
        <v>01013841</v>
      </c>
    </row>
    <row r="171" spans="1:7" x14ac:dyDescent="0.25">
      <c r="A171" s="2">
        <v>170</v>
      </c>
      <c r="B171" s="3">
        <v>1220</v>
      </c>
      <c r="C171" s="5" t="s">
        <v>4537</v>
      </c>
      <c r="D171" s="5" t="s">
        <v>667</v>
      </c>
      <c r="E171" s="5" t="s">
        <v>27</v>
      </c>
      <c r="F171" s="3" t="s">
        <v>4538</v>
      </c>
      <c r="G171" s="3" t="str">
        <f>"00282872"</f>
        <v>00282872</v>
      </c>
    </row>
    <row r="172" spans="1:7" x14ac:dyDescent="0.25">
      <c r="A172" s="2">
        <v>171</v>
      </c>
      <c r="B172" s="3">
        <v>3220</v>
      </c>
      <c r="C172" s="5" t="s">
        <v>1669</v>
      </c>
      <c r="D172" s="5" t="s">
        <v>87</v>
      </c>
      <c r="E172" s="5" t="s">
        <v>2786</v>
      </c>
      <c r="F172" s="3" t="s">
        <v>1670</v>
      </c>
      <c r="G172" s="3" t="str">
        <f>"00444111"</f>
        <v>00444111</v>
      </c>
    </row>
    <row r="173" spans="1:7" x14ac:dyDescent="0.25">
      <c r="A173" s="2">
        <v>172</v>
      </c>
      <c r="B173" s="3">
        <v>6741</v>
      </c>
      <c r="C173" s="5" t="s">
        <v>998</v>
      </c>
      <c r="D173" s="5" t="s">
        <v>18</v>
      </c>
      <c r="E173" s="5" t="s">
        <v>87</v>
      </c>
      <c r="F173" s="3" t="s">
        <v>999</v>
      </c>
      <c r="G173" s="3" t="str">
        <f>"201511033682"</f>
        <v>201511033682</v>
      </c>
    </row>
    <row r="174" spans="1:7" x14ac:dyDescent="0.25">
      <c r="A174" s="2">
        <v>173</v>
      </c>
      <c r="B174" s="3">
        <v>3367</v>
      </c>
      <c r="C174" s="5" t="s">
        <v>3332</v>
      </c>
      <c r="D174" s="5" t="s">
        <v>457</v>
      </c>
      <c r="E174" s="5" t="s">
        <v>1891</v>
      </c>
      <c r="F174" s="3" t="s">
        <v>3333</v>
      </c>
      <c r="G174" s="3" t="str">
        <f>"00934585"</f>
        <v>00934585</v>
      </c>
    </row>
    <row r="175" spans="1:7" x14ac:dyDescent="0.25">
      <c r="A175" s="2">
        <v>174</v>
      </c>
      <c r="B175" s="3">
        <v>9338</v>
      </c>
      <c r="C175" s="5" t="s">
        <v>3784</v>
      </c>
      <c r="D175" s="5" t="s">
        <v>3783</v>
      </c>
      <c r="E175" s="5" t="s">
        <v>129</v>
      </c>
      <c r="F175" s="3" t="s">
        <v>3785</v>
      </c>
      <c r="G175" s="3" t="str">
        <f>"00843965"</f>
        <v>00843965</v>
      </c>
    </row>
    <row r="176" spans="1:7" x14ac:dyDescent="0.25">
      <c r="A176" s="2">
        <v>175</v>
      </c>
      <c r="B176" s="3">
        <v>9278</v>
      </c>
      <c r="C176" s="5" t="s">
        <v>2752</v>
      </c>
      <c r="D176" s="5" t="s">
        <v>198</v>
      </c>
      <c r="E176" s="5" t="s">
        <v>1318</v>
      </c>
      <c r="F176" s="3" t="s">
        <v>2753</v>
      </c>
      <c r="G176" s="3" t="str">
        <f>"201511038263"</f>
        <v>201511038263</v>
      </c>
    </row>
    <row r="177" spans="1:7" x14ac:dyDescent="0.25">
      <c r="A177" s="2">
        <v>176</v>
      </c>
      <c r="B177" s="3">
        <v>4947</v>
      </c>
      <c r="C177" s="5" t="s">
        <v>2752</v>
      </c>
      <c r="D177" s="5" t="s">
        <v>126</v>
      </c>
      <c r="E177" s="5" t="s">
        <v>32</v>
      </c>
      <c r="F177" s="3" t="s">
        <v>3574</v>
      </c>
      <c r="G177" s="3" t="str">
        <f>"00001685"</f>
        <v>00001685</v>
      </c>
    </row>
    <row r="178" spans="1:7" x14ac:dyDescent="0.25">
      <c r="A178" s="2">
        <v>177</v>
      </c>
      <c r="B178" s="3">
        <v>3279</v>
      </c>
      <c r="C178" s="5" t="s">
        <v>3512</v>
      </c>
      <c r="D178" s="5" t="s">
        <v>3511</v>
      </c>
      <c r="E178" s="5" t="s">
        <v>705</v>
      </c>
      <c r="F178" s="3" t="s">
        <v>3513</v>
      </c>
      <c r="G178" s="3" t="str">
        <f>"01014837"</f>
        <v>01014837</v>
      </c>
    </row>
    <row r="179" spans="1:7" x14ac:dyDescent="0.25">
      <c r="A179" s="2">
        <v>178</v>
      </c>
      <c r="B179" s="3">
        <v>12632</v>
      </c>
      <c r="C179" s="5" t="s">
        <v>1071</v>
      </c>
      <c r="D179" s="5" t="s">
        <v>1070</v>
      </c>
      <c r="E179" s="5" t="s">
        <v>87</v>
      </c>
      <c r="F179" s="3" t="s">
        <v>1072</v>
      </c>
      <c r="G179" s="3" t="str">
        <f>"00788307"</f>
        <v>00788307</v>
      </c>
    </row>
    <row r="180" spans="1:7" x14ac:dyDescent="0.25">
      <c r="A180" s="2">
        <v>179</v>
      </c>
      <c r="B180" s="3">
        <v>9800</v>
      </c>
      <c r="C180" s="5" t="s">
        <v>1390</v>
      </c>
      <c r="D180" s="5" t="s">
        <v>44</v>
      </c>
      <c r="E180" s="5" t="s">
        <v>382</v>
      </c>
      <c r="F180" s="3" t="s">
        <v>1391</v>
      </c>
      <c r="G180" s="3" t="str">
        <f>"00981173"</f>
        <v>00981173</v>
      </c>
    </row>
    <row r="181" spans="1:7" x14ac:dyDescent="0.25">
      <c r="A181" s="2">
        <v>180</v>
      </c>
      <c r="B181" s="3">
        <v>1670</v>
      </c>
      <c r="C181" s="5" t="s">
        <v>3768</v>
      </c>
      <c r="D181" s="5" t="s">
        <v>52</v>
      </c>
      <c r="E181" s="5" t="s">
        <v>5</v>
      </c>
      <c r="F181" s="3" t="s">
        <v>3769</v>
      </c>
      <c r="G181" s="3" t="str">
        <f>"201604000999"</f>
        <v>201604000999</v>
      </c>
    </row>
    <row r="182" spans="1:7" x14ac:dyDescent="0.25">
      <c r="A182" s="2">
        <v>181</v>
      </c>
      <c r="B182" s="3">
        <v>11039</v>
      </c>
      <c r="C182" s="5" t="s">
        <v>3377</v>
      </c>
      <c r="D182" s="5" t="s">
        <v>32</v>
      </c>
      <c r="E182" s="5" t="s">
        <v>11</v>
      </c>
      <c r="F182" s="3" t="s">
        <v>3378</v>
      </c>
      <c r="G182" s="3" t="str">
        <f>"00985301"</f>
        <v>00985301</v>
      </c>
    </row>
    <row r="183" spans="1:7" x14ac:dyDescent="0.25">
      <c r="A183" s="2">
        <v>182</v>
      </c>
      <c r="B183" s="3">
        <v>1600</v>
      </c>
      <c r="C183" s="5" t="s">
        <v>3764</v>
      </c>
      <c r="D183" s="5" t="s">
        <v>91</v>
      </c>
      <c r="E183" s="5" t="s">
        <v>635</v>
      </c>
      <c r="F183" s="3" t="s">
        <v>3765</v>
      </c>
      <c r="G183" s="3" t="str">
        <f>"00987413"</f>
        <v>00987413</v>
      </c>
    </row>
    <row r="184" spans="1:7" x14ac:dyDescent="0.25">
      <c r="A184" s="2">
        <v>183</v>
      </c>
      <c r="B184" s="3">
        <v>10944</v>
      </c>
      <c r="C184" s="5" t="s">
        <v>3150</v>
      </c>
      <c r="D184" s="5" t="s">
        <v>1070</v>
      </c>
      <c r="E184" s="5" t="s">
        <v>41</v>
      </c>
      <c r="F184" s="3" t="s">
        <v>3151</v>
      </c>
      <c r="G184" s="3" t="str">
        <f>"01016271"</f>
        <v>01016271</v>
      </c>
    </row>
    <row r="185" spans="1:7" x14ac:dyDescent="0.25">
      <c r="A185" s="2">
        <v>184</v>
      </c>
      <c r="B185" s="3">
        <v>11490</v>
      </c>
      <c r="C185" s="5" t="s">
        <v>1619</v>
      </c>
      <c r="D185" s="5" t="s">
        <v>1618</v>
      </c>
      <c r="E185" s="5" t="s">
        <v>87</v>
      </c>
      <c r="F185" s="3" t="s">
        <v>1620</v>
      </c>
      <c r="G185" s="3" t="str">
        <f>"01007825"</f>
        <v>01007825</v>
      </c>
    </row>
    <row r="186" spans="1:7" x14ac:dyDescent="0.25">
      <c r="A186" s="2">
        <v>185</v>
      </c>
      <c r="B186" s="3">
        <v>3679</v>
      </c>
      <c r="C186" s="5" t="s">
        <v>422</v>
      </c>
      <c r="D186" s="5" t="s">
        <v>207</v>
      </c>
      <c r="E186" s="5" t="s">
        <v>63</v>
      </c>
      <c r="F186" s="3" t="s">
        <v>4733</v>
      </c>
      <c r="G186" s="3" t="str">
        <f>"01018078"</f>
        <v>01018078</v>
      </c>
    </row>
    <row r="187" spans="1:7" x14ac:dyDescent="0.25">
      <c r="A187" s="2">
        <v>186</v>
      </c>
      <c r="B187" s="3">
        <v>12264</v>
      </c>
      <c r="C187" s="5" t="s">
        <v>422</v>
      </c>
      <c r="D187" s="5" t="s">
        <v>214</v>
      </c>
      <c r="E187" s="5" t="s">
        <v>44</v>
      </c>
      <c r="F187" s="3" t="s">
        <v>2131</v>
      </c>
      <c r="G187" s="3" t="str">
        <f>"00221494"</f>
        <v>00221494</v>
      </c>
    </row>
    <row r="188" spans="1:7" x14ac:dyDescent="0.25">
      <c r="A188" s="2">
        <v>187</v>
      </c>
      <c r="B188" s="3">
        <v>7542</v>
      </c>
      <c r="C188" s="5" t="s">
        <v>422</v>
      </c>
      <c r="D188" s="5" t="s">
        <v>421</v>
      </c>
      <c r="E188" s="5" t="s">
        <v>52</v>
      </c>
      <c r="F188" s="3" t="s">
        <v>423</v>
      </c>
      <c r="G188" s="3" t="str">
        <f>"00221474"</f>
        <v>00221474</v>
      </c>
    </row>
    <row r="189" spans="1:7" x14ac:dyDescent="0.25">
      <c r="A189" s="2">
        <v>188</v>
      </c>
      <c r="B189" s="3">
        <v>3212</v>
      </c>
      <c r="C189" s="5" t="s">
        <v>422</v>
      </c>
      <c r="D189" s="5" t="s">
        <v>2020</v>
      </c>
      <c r="E189" s="5" t="s">
        <v>5</v>
      </c>
      <c r="F189" s="3" t="s">
        <v>4641</v>
      </c>
      <c r="G189" s="3" t="str">
        <f>"00980736"</f>
        <v>00980736</v>
      </c>
    </row>
    <row r="190" spans="1:7" x14ac:dyDescent="0.25">
      <c r="A190" s="2">
        <v>189</v>
      </c>
      <c r="B190" s="3">
        <v>7123</v>
      </c>
      <c r="C190" s="5" t="s">
        <v>422</v>
      </c>
      <c r="D190" s="5" t="s">
        <v>5</v>
      </c>
      <c r="E190" s="5" t="s">
        <v>44</v>
      </c>
      <c r="F190" s="3" t="s">
        <v>3147</v>
      </c>
      <c r="G190" s="3" t="str">
        <f>"00346012"</f>
        <v>00346012</v>
      </c>
    </row>
    <row r="191" spans="1:7" x14ac:dyDescent="0.25">
      <c r="A191" s="2">
        <v>190</v>
      </c>
      <c r="B191" s="3">
        <v>5859</v>
      </c>
      <c r="C191" s="5" t="s">
        <v>275</v>
      </c>
      <c r="D191" s="5" t="s">
        <v>66</v>
      </c>
      <c r="E191" s="5" t="s">
        <v>5</v>
      </c>
      <c r="F191" s="3">
        <v>867385</v>
      </c>
      <c r="G191" s="3" t="str">
        <f>"00005917"</f>
        <v>00005917</v>
      </c>
    </row>
    <row r="192" spans="1:7" x14ac:dyDescent="0.25">
      <c r="A192" s="2">
        <v>191</v>
      </c>
      <c r="B192" s="3">
        <v>10189</v>
      </c>
      <c r="C192" s="5" t="s">
        <v>3424</v>
      </c>
      <c r="D192" s="5" t="s">
        <v>3362</v>
      </c>
      <c r="E192" s="5" t="s">
        <v>32</v>
      </c>
      <c r="F192" s="3" t="s">
        <v>3998</v>
      </c>
      <c r="G192" s="3" t="str">
        <f>"00716842"</f>
        <v>00716842</v>
      </c>
    </row>
    <row r="193" spans="1:7" x14ac:dyDescent="0.25">
      <c r="A193" s="2">
        <v>192</v>
      </c>
      <c r="B193" s="3">
        <v>7177</v>
      </c>
      <c r="C193" s="5" t="s">
        <v>3424</v>
      </c>
      <c r="D193" s="5" t="s">
        <v>102</v>
      </c>
      <c r="E193" s="5" t="s">
        <v>44</v>
      </c>
      <c r="F193" s="3" t="s">
        <v>3425</v>
      </c>
      <c r="G193" s="3" t="str">
        <f>"00539627"</f>
        <v>00539627</v>
      </c>
    </row>
    <row r="194" spans="1:7" x14ac:dyDescent="0.25">
      <c r="A194" s="2">
        <v>193</v>
      </c>
      <c r="B194" s="3">
        <v>5637</v>
      </c>
      <c r="C194" s="5" t="s">
        <v>3519</v>
      </c>
      <c r="D194" s="5" t="s">
        <v>3518</v>
      </c>
      <c r="E194" s="5" t="s">
        <v>4884</v>
      </c>
      <c r="F194" s="3" t="s">
        <v>3520</v>
      </c>
      <c r="G194" s="3" t="str">
        <f>"00729715"</f>
        <v>00729715</v>
      </c>
    </row>
    <row r="195" spans="1:7" x14ac:dyDescent="0.25">
      <c r="A195" s="2">
        <v>194</v>
      </c>
      <c r="B195" s="3">
        <v>3989</v>
      </c>
      <c r="C195" s="5" t="s">
        <v>3365</v>
      </c>
      <c r="D195" s="5" t="s">
        <v>14</v>
      </c>
      <c r="E195" s="5" t="s">
        <v>2659</v>
      </c>
      <c r="F195" s="3" t="s">
        <v>3366</v>
      </c>
      <c r="G195" s="3" t="str">
        <f>"00476074"</f>
        <v>00476074</v>
      </c>
    </row>
    <row r="196" spans="1:7" x14ac:dyDescent="0.25">
      <c r="A196" s="2">
        <v>195</v>
      </c>
      <c r="B196" s="3">
        <v>731</v>
      </c>
      <c r="C196" s="5" t="s">
        <v>3220</v>
      </c>
      <c r="D196" s="5" t="s">
        <v>3219</v>
      </c>
      <c r="E196" s="5" t="s">
        <v>2655</v>
      </c>
      <c r="F196" s="3" t="s">
        <v>3221</v>
      </c>
      <c r="G196" s="3" t="str">
        <f>"01010844"</f>
        <v>01010844</v>
      </c>
    </row>
    <row r="197" spans="1:7" x14ac:dyDescent="0.25">
      <c r="A197" s="2">
        <v>196</v>
      </c>
      <c r="B197" s="3">
        <v>9403</v>
      </c>
      <c r="C197" s="5" t="s">
        <v>526</v>
      </c>
      <c r="D197" s="5" t="s">
        <v>123</v>
      </c>
      <c r="E197" s="5" t="s">
        <v>91</v>
      </c>
      <c r="F197" s="3" t="s">
        <v>527</v>
      </c>
      <c r="G197" s="3" t="str">
        <f>"00981880"</f>
        <v>00981880</v>
      </c>
    </row>
    <row r="198" spans="1:7" x14ac:dyDescent="0.25">
      <c r="A198" s="2">
        <v>197</v>
      </c>
      <c r="B198" s="3">
        <v>9325</v>
      </c>
      <c r="C198" s="5" t="s">
        <v>1773</v>
      </c>
      <c r="D198" s="5" t="s">
        <v>1772</v>
      </c>
      <c r="E198" s="5" t="s">
        <v>52</v>
      </c>
      <c r="F198" s="3" t="s">
        <v>1774</v>
      </c>
      <c r="G198" s="3" t="str">
        <f>"00329207"</f>
        <v>00329207</v>
      </c>
    </row>
    <row r="199" spans="1:7" x14ac:dyDescent="0.25">
      <c r="A199" s="2">
        <v>198</v>
      </c>
      <c r="B199" s="3">
        <v>7166</v>
      </c>
      <c r="C199" s="5" t="s">
        <v>2638</v>
      </c>
      <c r="D199" s="5" t="s">
        <v>2637</v>
      </c>
      <c r="E199" s="5" t="s">
        <v>4860</v>
      </c>
      <c r="F199" s="3" t="s">
        <v>2639</v>
      </c>
      <c r="G199" s="3" t="str">
        <f>"00981573"</f>
        <v>00981573</v>
      </c>
    </row>
    <row r="200" spans="1:7" x14ac:dyDescent="0.25">
      <c r="A200" s="2">
        <v>199</v>
      </c>
      <c r="B200" s="3">
        <v>2652</v>
      </c>
      <c r="C200" s="5" t="s">
        <v>145</v>
      </c>
      <c r="D200" s="5" t="s">
        <v>144</v>
      </c>
      <c r="E200" s="5" t="s">
        <v>632</v>
      </c>
      <c r="F200" s="3" t="s">
        <v>146</v>
      </c>
      <c r="G200" s="3" t="str">
        <f>"201511009044"</f>
        <v>201511009044</v>
      </c>
    </row>
    <row r="201" spans="1:7" x14ac:dyDescent="0.25">
      <c r="A201" s="2">
        <v>200</v>
      </c>
      <c r="B201" s="3">
        <v>355</v>
      </c>
      <c r="C201" s="5" t="s">
        <v>602</v>
      </c>
      <c r="D201" s="5" t="s">
        <v>126</v>
      </c>
      <c r="E201" s="5" t="s">
        <v>545</v>
      </c>
      <c r="F201" s="3" t="s">
        <v>603</v>
      </c>
      <c r="G201" s="3" t="str">
        <f>"00769100"</f>
        <v>00769100</v>
      </c>
    </row>
    <row r="202" spans="1:7" x14ac:dyDescent="0.25">
      <c r="A202" s="2">
        <v>201</v>
      </c>
      <c r="B202" s="3">
        <v>4901</v>
      </c>
      <c r="C202" s="5" t="s">
        <v>1307</v>
      </c>
      <c r="D202" s="5" t="s">
        <v>44</v>
      </c>
      <c r="E202" s="5" t="s">
        <v>5</v>
      </c>
      <c r="F202" s="3" t="s">
        <v>1308</v>
      </c>
      <c r="G202" s="3" t="str">
        <f>"00594680"</f>
        <v>00594680</v>
      </c>
    </row>
    <row r="203" spans="1:7" x14ac:dyDescent="0.25">
      <c r="A203" s="2">
        <v>202</v>
      </c>
      <c r="B203" s="3">
        <v>6993</v>
      </c>
      <c r="C203" s="5" t="s">
        <v>1762</v>
      </c>
      <c r="D203" s="5" t="s">
        <v>52</v>
      </c>
      <c r="E203" s="5" t="s">
        <v>4834</v>
      </c>
      <c r="F203" s="3" t="s">
        <v>1763</v>
      </c>
      <c r="G203" s="3" t="str">
        <f>"00552339"</f>
        <v>00552339</v>
      </c>
    </row>
    <row r="204" spans="1:7" x14ac:dyDescent="0.25">
      <c r="A204" s="2">
        <v>203</v>
      </c>
      <c r="B204" s="3">
        <v>8021</v>
      </c>
      <c r="C204" s="5" t="s">
        <v>3779</v>
      </c>
      <c r="D204" s="5" t="s">
        <v>479</v>
      </c>
      <c r="E204" s="5" t="s">
        <v>44</v>
      </c>
      <c r="F204" s="3" t="s">
        <v>3780</v>
      </c>
      <c r="G204" s="3" t="str">
        <f>"201410000072"</f>
        <v>201410000072</v>
      </c>
    </row>
    <row r="205" spans="1:7" x14ac:dyDescent="0.25">
      <c r="A205" s="2">
        <v>204</v>
      </c>
      <c r="B205" s="3">
        <v>2178</v>
      </c>
      <c r="C205" s="5" t="s">
        <v>575</v>
      </c>
      <c r="D205" s="5" t="s">
        <v>63</v>
      </c>
      <c r="E205" s="5" t="s">
        <v>284</v>
      </c>
      <c r="F205" s="3" t="s">
        <v>576</v>
      </c>
      <c r="G205" s="3" t="str">
        <f>"00841824"</f>
        <v>00841824</v>
      </c>
    </row>
    <row r="206" spans="1:7" x14ac:dyDescent="0.25">
      <c r="A206" s="2">
        <v>205</v>
      </c>
      <c r="B206" s="3">
        <v>7237</v>
      </c>
      <c r="C206" s="5" t="s">
        <v>3852</v>
      </c>
      <c r="D206" s="5" t="s">
        <v>284</v>
      </c>
      <c r="E206" s="5" t="s">
        <v>32</v>
      </c>
      <c r="F206" s="3" t="s">
        <v>3853</v>
      </c>
      <c r="G206" s="3" t="str">
        <f>"00972333"</f>
        <v>00972333</v>
      </c>
    </row>
    <row r="207" spans="1:7" x14ac:dyDescent="0.25">
      <c r="A207" s="2">
        <v>206</v>
      </c>
      <c r="B207" s="3">
        <v>627</v>
      </c>
      <c r="C207" s="5" t="s">
        <v>607</v>
      </c>
      <c r="D207" s="5" t="s">
        <v>126</v>
      </c>
      <c r="E207" s="5" t="s">
        <v>44</v>
      </c>
      <c r="F207" s="3" t="s">
        <v>608</v>
      </c>
      <c r="G207" s="3" t="str">
        <f>"00508184"</f>
        <v>00508184</v>
      </c>
    </row>
    <row r="208" spans="1:7" x14ac:dyDescent="0.25">
      <c r="A208" s="2">
        <v>207</v>
      </c>
      <c r="B208" s="3">
        <v>11907</v>
      </c>
      <c r="C208" s="5" t="s">
        <v>4745</v>
      </c>
      <c r="D208" s="5" t="s">
        <v>3693</v>
      </c>
      <c r="E208" s="5" t="s">
        <v>129</v>
      </c>
      <c r="F208" s="3" t="s">
        <v>4746</v>
      </c>
      <c r="G208" s="3" t="str">
        <f>"00443374"</f>
        <v>00443374</v>
      </c>
    </row>
    <row r="209" spans="1:7" x14ac:dyDescent="0.25">
      <c r="A209" s="2">
        <v>208</v>
      </c>
      <c r="B209" s="3">
        <v>11685</v>
      </c>
      <c r="C209" s="5" t="s">
        <v>1782</v>
      </c>
      <c r="D209" s="5" t="s">
        <v>52</v>
      </c>
      <c r="E209" s="5" t="s">
        <v>32</v>
      </c>
      <c r="F209" s="3" t="s">
        <v>1783</v>
      </c>
      <c r="G209" s="3" t="str">
        <f>"00934533"</f>
        <v>00934533</v>
      </c>
    </row>
    <row r="210" spans="1:7" x14ac:dyDescent="0.25">
      <c r="A210" s="2">
        <v>209</v>
      </c>
      <c r="B210" s="3">
        <v>8344</v>
      </c>
      <c r="C210" s="5" t="s">
        <v>256</v>
      </c>
      <c r="D210" s="5" t="s">
        <v>52</v>
      </c>
      <c r="E210" s="5" t="s">
        <v>63</v>
      </c>
      <c r="F210" s="3" t="s">
        <v>257</v>
      </c>
      <c r="G210" s="3" t="str">
        <f>"201511039091"</f>
        <v>201511039091</v>
      </c>
    </row>
    <row r="211" spans="1:7" x14ac:dyDescent="0.25">
      <c r="A211" s="2">
        <v>210</v>
      </c>
      <c r="B211" s="3">
        <v>2078</v>
      </c>
      <c r="C211" s="5" t="s">
        <v>1406</v>
      </c>
      <c r="D211" s="5" t="s">
        <v>284</v>
      </c>
      <c r="E211" s="5" t="s">
        <v>87</v>
      </c>
      <c r="F211" s="3" t="s">
        <v>1407</v>
      </c>
      <c r="G211" s="3" t="str">
        <f>"00925096"</f>
        <v>00925096</v>
      </c>
    </row>
    <row r="212" spans="1:7" x14ac:dyDescent="0.25">
      <c r="A212" s="2">
        <v>211</v>
      </c>
      <c r="B212" s="3">
        <v>2214</v>
      </c>
      <c r="C212" s="5" t="s">
        <v>168</v>
      </c>
      <c r="D212" s="5" t="s">
        <v>167</v>
      </c>
      <c r="E212" s="5" t="s">
        <v>214</v>
      </c>
      <c r="F212" s="3" t="s">
        <v>169</v>
      </c>
      <c r="G212" s="3" t="str">
        <f>"00442275"</f>
        <v>00442275</v>
      </c>
    </row>
    <row r="213" spans="1:7" x14ac:dyDescent="0.25">
      <c r="A213" s="2">
        <v>212</v>
      </c>
      <c r="B213" s="3">
        <v>7702</v>
      </c>
      <c r="C213" s="5" t="s">
        <v>2426</v>
      </c>
      <c r="D213" s="5" t="s">
        <v>113</v>
      </c>
      <c r="E213" s="5" t="s">
        <v>87</v>
      </c>
      <c r="F213" s="3" t="s">
        <v>2427</v>
      </c>
      <c r="G213" s="3" t="str">
        <f>"00989581"</f>
        <v>00989581</v>
      </c>
    </row>
    <row r="214" spans="1:7" x14ac:dyDescent="0.25">
      <c r="A214" s="2">
        <v>213</v>
      </c>
      <c r="B214" s="3">
        <v>6564</v>
      </c>
      <c r="C214" s="5" t="s">
        <v>4696</v>
      </c>
      <c r="D214" s="5" t="s">
        <v>635</v>
      </c>
      <c r="E214" s="5" t="s">
        <v>1139</v>
      </c>
      <c r="F214" s="3" t="s">
        <v>4697</v>
      </c>
      <c r="G214" s="3" t="str">
        <f>"201511005777"</f>
        <v>201511005777</v>
      </c>
    </row>
    <row r="215" spans="1:7" x14ac:dyDescent="0.25">
      <c r="A215" s="2">
        <v>214</v>
      </c>
      <c r="B215" s="3">
        <v>5928</v>
      </c>
      <c r="C215" s="5" t="s">
        <v>2710</v>
      </c>
      <c r="D215" s="5" t="s">
        <v>187</v>
      </c>
      <c r="E215" s="5" t="s">
        <v>135</v>
      </c>
      <c r="F215" s="3" t="s">
        <v>2711</v>
      </c>
      <c r="G215" s="3" t="str">
        <f>"00501968"</f>
        <v>00501968</v>
      </c>
    </row>
    <row r="216" spans="1:7" x14ac:dyDescent="0.25">
      <c r="A216" s="2">
        <v>215</v>
      </c>
      <c r="B216" s="3">
        <v>2584</v>
      </c>
      <c r="C216" s="5" t="s">
        <v>1721</v>
      </c>
      <c r="D216" s="5" t="s">
        <v>284</v>
      </c>
      <c r="E216" s="5" t="s">
        <v>94</v>
      </c>
      <c r="F216" s="3" t="s">
        <v>1722</v>
      </c>
      <c r="G216" s="3" t="str">
        <f>"00207957"</f>
        <v>00207957</v>
      </c>
    </row>
    <row r="217" spans="1:7" x14ac:dyDescent="0.25">
      <c r="A217" s="2">
        <v>216</v>
      </c>
      <c r="B217" s="3">
        <v>5045</v>
      </c>
      <c r="C217" s="5" t="s">
        <v>3195</v>
      </c>
      <c r="D217" s="5" t="s">
        <v>87</v>
      </c>
      <c r="E217" s="5" t="s">
        <v>4877</v>
      </c>
      <c r="F217" s="3" t="s">
        <v>3196</v>
      </c>
      <c r="G217" s="3" t="str">
        <f>"00489711"</f>
        <v>00489711</v>
      </c>
    </row>
    <row r="218" spans="1:7" x14ac:dyDescent="0.25">
      <c r="A218" s="2">
        <v>217</v>
      </c>
      <c r="B218" s="3">
        <v>11554</v>
      </c>
      <c r="C218" s="5" t="s">
        <v>901</v>
      </c>
      <c r="D218" s="5" t="s">
        <v>900</v>
      </c>
      <c r="E218" s="5" t="s">
        <v>91</v>
      </c>
      <c r="F218" s="3" t="s">
        <v>902</v>
      </c>
      <c r="G218" s="3" t="str">
        <f>"00573045"</f>
        <v>00573045</v>
      </c>
    </row>
    <row r="219" spans="1:7" x14ac:dyDescent="0.25">
      <c r="A219" s="2">
        <v>218</v>
      </c>
      <c r="B219" s="3">
        <v>6094</v>
      </c>
      <c r="C219" s="5" t="s">
        <v>1090</v>
      </c>
      <c r="D219" s="5" t="s">
        <v>44</v>
      </c>
      <c r="E219" s="5" t="s">
        <v>1694</v>
      </c>
      <c r="F219" s="3" t="s">
        <v>1091</v>
      </c>
      <c r="G219" s="3" t="str">
        <f>"00779107"</f>
        <v>00779107</v>
      </c>
    </row>
    <row r="220" spans="1:7" x14ac:dyDescent="0.25">
      <c r="A220" s="2">
        <v>219</v>
      </c>
      <c r="B220" s="3">
        <v>3823</v>
      </c>
      <c r="C220" s="5" t="s">
        <v>3091</v>
      </c>
      <c r="D220" s="5" t="s">
        <v>1432</v>
      </c>
      <c r="E220" s="5" t="s">
        <v>129</v>
      </c>
      <c r="F220" s="3" t="s">
        <v>3092</v>
      </c>
      <c r="G220" s="3" t="str">
        <f>"01000122"</f>
        <v>01000122</v>
      </c>
    </row>
    <row r="221" spans="1:7" x14ac:dyDescent="0.25">
      <c r="A221" s="2">
        <v>220</v>
      </c>
      <c r="B221" s="3">
        <v>5985</v>
      </c>
      <c r="C221" s="5" t="s">
        <v>3737</v>
      </c>
      <c r="D221" s="5" t="s">
        <v>126</v>
      </c>
      <c r="E221" s="5" t="s">
        <v>4889</v>
      </c>
      <c r="F221" s="3" t="s">
        <v>3738</v>
      </c>
      <c r="G221" s="3" t="str">
        <f>"01015978"</f>
        <v>01015978</v>
      </c>
    </row>
    <row r="222" spans="1:7" x14ac:dyDescent="0.25">
      <c r="A222" s="2">
        <v>221</v>
      </c>
      <c r="B222" s="3">
        <v>2509</v>
      </c>
      <c r="C222" s="5" t="s">
        <v>1563</v>
      </c>
      <c r="D222" s="5" t="s">
        <v>366</v>
      </c>
      <c r="E222" s="5" t="s">
        <v>32</v>
      </c>
      <c r="F222" s="3" t="s">
        <v>1564</v>
      </c>
      <c r="G222" s="3" t="str">
        <f>"01013628"</f>
        <v>01013628</v>
      </c>
    </row>
    <row r="223" spans="1:7" x14ac:dyDescent="0.25">
      <c r="A223" s="2">
        <v>222</v>
      </c>
      <c r="B223" s="3">
        <v>4074</v>
      </c>
      <c r="C223" s="5" t="s">
        <v>514</v>
      </c>
      <c r="D223" s="5" t="s">
        <v>44</v>
      </c>
      <c r="E223" s="5" t="s">
        <v>1023</v>
      </c>
      <c r="F223" s="3" t="s">
        <v>515</v>
      </c>
      <c r="G223" s="3" t="str">
        <f>"201405002293"</f>
        <v>201405002293</v>
      </c>
    </row>
    <row r="224" spans="1:7" x14ac:dyDescent="0.25">
      <c r="A224" s="2">
        <v>223</v>
      </c>
      <c r="B224" s="3">
        <v>1154</v>
      </c>
      <c r="C224" s="5" t="s">
        <v>4093</v>
      </c>
      <c r="D224" s="5" t="s">
        <v>159</v>
      </c>
      <c r="E224" s="5" t="s">
        <v>4898</v>
      </c>
      <c r="F224" s="3" t="s">
        <v>4094</v>
      </c>
      <c r="G224" s="3" t="str">
        <f>"00904849"</f>
        <v>00904849</v>
      </c>
    </row>
    <row r="225" spans="1:7" x14ac:dyDescent="0.25">
      <c r="A225" s="2">
        <v>224</v>
      </c>
      <c r="B225" s="3">
        <v>378</v>
      </c>
      <c r="C225" s="5" t="s">
        <v>185</v>
      </c>
      <c r="D225" s="5" t="s">
        <v>412</v>
      </c>
      <c r="E225" s="5" t="s">
        <v>52</v>
      </c>
      <c r="F225" s="3" t="s">
        <v>413</v>
      </c>
      <c r="G225" s="3" t="str">
        <f>"01013359"</f>
        <v>01013359</v>
      </c>
    </row>
    <row r="226" spans="1:7" x14ac:dyDescent="0.25">
      <c r="A226" s="2">
        <v>225</v>
      </c>
      <c r="B226" s="3">
        <v>8664</v>
      </c>
      <c r="C226" s="5" t="s">
        <v>185</v>
      </c>
      <c r="D226" s="5" t="s">
        <v>87</v>
      </c>
      <c r="E226" s="5" t="s">
        <v>11</v>
      </c>
      <c r="F226" s="3" t="s">
        <v>4516</v>
      </c>
      <c r="G226" s="3" t="str">
        <f>"00551202"</f>
        <v>00551202</v>
      </c>
    </row>
    <row r="227" spans="1:7" x14ac:dyDescent="0.25">
      <c r="A227" s="2">
        <v>226</v>
      </c>
      <c r="B227" s="3">
        <v>9146</v>
      </c>
      <c r="C227" s="5" t="s">
        <v>185</v>
      </c>
      <c r="D227" s="5" t="s">
        <v>52</v>
      </c>
      <c r="E227" s="5" t="s">
        <v>4392</v>
      </c>
      <c r="F227" s="3" t="s">
        <v>1753</v>
      </c>
      <c r="G227" s="3" t="str">
        <f>"01016610"</f>
        <v>01016610</v>
      </c>
    </row>
    <row r="228" spans="1:7" x14ac:dyDescent="0.25">
      <c r="A228" s="2">
        <v>227</v>
      </c>
      <c r="B228" s="3">
        <v>13007</v>
      </c>
      <c r="C228" s="5" t="s">
        <v>185</v>
      </c>
      <c r="D228" s="5" t="s">
        <v>382</v>
      </c>
      <c r="E228" s="5" t="s">
        <v>52</v>
      </c>
      <c r="F228" s="3" t="s">
        <v>4261</v>
      </c>
      <c r="G228" s="3" t="str">
        <f>"01013921"</f>
        <v>01013921</v>
      </c>
    </row>
    <row r="229" spans="1:7" x14ac:dyDescent="0.25">
      <c r="A229" s="2">
        <v>228</v>
      </c>
      <c r="B229" s="3">
        <v>7803</v>
      </c>
      <c r="C229" s="5" t="s">
        <v>185</v>
      </c>
      <c r="D229" s="5" t="s">
        <v>184</v>
      </c>
      <c r="E229" s="5" t="s">
        <v>284</v>
      </c>
      <c r="F229" s="3" t="s">
        <v>186</v>
      </c>
      <c r="G229" s="3" t="str">
        <f>"01016728"</f>
        <v>01016728</v>
      </c>
    </row>
    <row r="230" spans="1:7" x14ac:dyDescent="0.25">
      <c r="A230" s="2">
        <v>229</v>
      </c>
      <c r="B230" s="3">
        <v>2639</v>
      </c>
      <c r="C230" s="5" t="s">
        <v>185</v>
      </c>
      <c r="D230" s="5" t="s">
        <v>5</v>
      </c>
      <c r="E230" s="5" t="s">
        <v>2076</v>
      </c>
      <c r="F230" s="3">
        <v>709391016</v>
      </c>
      <c r="G230" s="3" t="str">
        <f>"00437283"</f>
        <v>00437283</v>
      </c>
    </row>
    <row r="231" spans="1:7" x14ac:dyDescent="0.25">
      <c r="A231" s="2">
        <v>230</v>
      </c>
      <c r="B231" s="3">
        <v>7506</v>
      </c>
      <c r="C231" s="5" t="s">
        <v>927</v>
      </c>
      <c r="D231" s="5" t="s">
        <v>926</v>
      </c>
      <c r="E231" s="5" t="s">
        <v>87</v>
      </c>
      <c r="F231" s="3" t="s">
        <v>928</v>
      </c>
      <c r="G231" s="3" t="str">
        <f>"01017102"</f>
        <v>01017102</v>
      </c>
    </row>
    <row r="232" spans="1:7" x14ac:dyDescent="0.25">
      <c r="A232" s="2">
        <v>231</v>
      </c>
      <c r="B232" s="3">
        <v>9805</v>
      </c>
      <c r="C232" s="5" t="s">
        <v>130</v>
      </c>
      <c r="D232" s="5" t="s">
        <v>129</v>
      </c>
      <c r="E232" s="5" t="s">
        <v>52</v>
      </c>
      <c r="F232" s="3" t="s">
        <v>131</v>
      </c>
      <c r="G232" s="3" t="str">
        <f>"00976960"</f>
        <v>00976960</v>
      </c>
    </row>
    <row r="233" spans="1:7" x14ac:dyDescent="0.25">
      <c r="A233" s="2">
        <v>232</v>
      </c>
      <c r="B233" s="3">
        <v>8313</v>
      </c>
      <c r="C233" s="5" t="s">
        <v>2067</v>
      </c>
      <c r="D233" s="5" t="s">
        <v>307</v>
      </c>
      <c r="E233" s="5" t="s">
        <v>14</v>
      </c>
      <c r="F233" s="3" t="s">
        <v>2068</v>
      </c>
      <c r="G233" s="3" t="str">
        <f>"201301000047"</f>
        <v>201301000047</v>
      </c>
    </row>
    <row r="234" spans="1:7" x14ac:dyDescent="0.25">
      <c r="A234" s="2">
        <v>233</v>
      </c>
      <c r="B234" s="3">
        <v>11474</v>
      </c>
      <c r="C234" s="5" t="s">
        <v>2644</v>
      </c>
      <c r="D234" s="5" t="s">
        <v>32</v>
      </c>
      <c r="E234" s="5" t="s">
        <v>1631</v>
      </c>
      <c r="F234" s="3" t="s">
        <v>2645</v>
      </c>
      <c r="G234" s="3" t="str">
        <f>"00982903"</f>
        <v>00982903</v>
      </c>
    </row>
    <row r="235" spans="1:7" x14ac:dyDescent="0.25">
      <c r="A235" s="2">
        <v>234</v>
      </c>
      <c r="B235" s="3">
        <v>4762</v>
      </c>
      <c r="C235" s="5" t="s">
        <v>3579</v>
      </c>
      <c r="D235" s="5" t="s">
        <v>32</v>
      </c>
      <c r="E235" s="5" t="s">
        <v>2786</v>
      </c>
      <c r="F235" s="3" t="s">
        <v>3580</v>
      </c>
      <c r="G235" s="3" t="str">
        <f>"01017554"</f>
        <v>01017554</v>
      </c>
    </row>
    <row r="236" spans="1:7" x14ac:dyDescent="0.25">
      <c r="A236" s="2">
        <v>235</v>
      </c>
      <c r="B236" s="3">
        <v>4184</v>
      </c>
      <c r="C236" s="5" t="s">
        <v>4375</v>
      </c>
      <c r="D236" s="5" t="s">
        <v>588</v>
      </c>
      <c r="E236" s="5" t="s">
        <v>5</v>
      </c>
      <c r="F236" s="3" t="s">
        <v>4376</v>
      </c>
      <c r="G236" s="3" t="str">
        <f>"00156200"</f>
        <v>00156200</v>
      </c>
    </row>
    <row r="237" spans="1:7" x14ac:dyDescent="0.25">
      <c r="A237" s="2">
        <v>236</v>
      </c>
      <c r="B237" s="3">
        <v>10831</v>
      </c>
      <c r="C237" s="5" t="s">
        <v>2412</v>
      </c>
      <c r="D237" s="5" t="s">
        <v>2411</v>
      </c>
      <c r="E237" s="5" t="s">
        <v>214</v>
      </c>
      <c r="F237" s="3" t="s">
        <v>2413</v>
      </c>
      <c r="G237" s="3" t="str">
        <f>"00996229"</f>
        <v>00996229</v>
      </c>
    </row>
    <row r="238" spans="1:7" x14ac:dyDescent="0.25">
      <c r="A238" s="2">
        <v>237</v>
      </c>
      <c r="B238" s="3">
        <v>11373</v>
      </c>
      <c r="C238" s="5" t="s">
        <v>875</v>
      </c>
      <c r="D238" s="5" t="s">
        <v>198</v>
      </c>
      <c r="E238" s="5" t="s">
        <v>214</v>
      </c>
      <c r="F238" s="3" t="s">
        <v>876</v>
      </c>
      <c r="G238" s="3" t="str">
        <f>"00548074"</f>
        <v>00548074</v>
      </c>
    </row>
    <row r="239" spans="1:7" x14ac:dyDescent="0.25">
      <c r="A239" s="2">
        <v>238</v>
      </c>
      <c r="B239" s="3">
        <v>12256</v>
      </c>
      <c r="C239" s="5" t="s">
        <v>944</v>
      </c>
      <c r="D239" s="5" t="s">
        <v>366</v>
      </c>
      <c r="E239" s="5" t="s">
        <v>32</v>
      </c>
      <c r="F239" s="3" t="s">
        <v>945</v>
      </c>
      <c r="G239" s="3" t="str">
        <f>"00818286"</f>
        <v>00818286</v>
      </c>
    </row>
    <row r="240" spans="1:7" x14ac:dyDescent="0.25">
      <c r="A240" s="2">
        <v>239</v>
      </c>
      <c r="B240" s="3">
        <v>5638</v>
      </c>
      <c r="C240" s="5" t="s">
        <v>2138</v>
      </c>
      <c r="D240" s="5" t="s">
        <v>52</v>
      </c>
      <c r="E240" s="5" t="s">
        <v>11</v>
      </c>
      <c r="F240" s="3" t="s">
        <v>2139</v>
      </c>
      <c r="G240" s="3" t="str">
        <f>"01013473"</f>
        <v>01013473</v>
      </c>
    </row>
    <row r="241" spans="1:7" x14ac:dyDescent="0.25">
      <c r="A241" s="2">
        <v>240</v>
      </c>
      <c r="B241" s="3">
        <v>1048</v>
      </c>
      <c r="C241" s="5" t="s">
        <v>1715</v>
      </c>
      <c r="D241" s="5" t="s">
        <v>721</v>
      </c>
      <c r="E241" s="5" t="s">
        <v>44</v>
      </c>
      <c r="F241" s="3" t="s">
        <v>1716</v>
      </c>
      <c r="G241" s="3" t="str">
        <f>"00173618"</f>
        <v>00173618</v>
      </c>
    </row>
    <row r="242" spans="1:7" x14ac:dyDescent="0.25">
      <c r="A242" s="2">
        <v>241</v>
      </c>
      <c r="B242" s="3">
        <v>6183</v>
      </c>
      <c r="C242" s="5" t="s">
        <v>1715</v>
      </c>
      <c r="D242" s="5" t="s">
        <v>66</v>
      </c>
      <c r="E242" s="5" t="s">
        <v>424</v>
      </c>
      <c r="F242" s="3" t="s">
        <v>3831</v>
      </c>
      <c r="G242" s="3" t="str">
        <f>"00980606"</f>
        <v>00980606</v>
      </c>
    </row>
    <row r="243" spans="1:7" x14ac:dyDescent="0.25">
      <c r="A243" s="2">
        <v>242</v>
      </c>
      <c r="B243" s="3">
        <v>3517</v>
      </c>
      <c r="C243" s="5" t="s">
        <v>1715</v>
      </c>
      <c r="D243" s="5" t="s">
        <v>66</v>
      </c>
      <c r="E243" s="5" t="s">
        <v>44</v>
      </c>
      <c r="F243" s="3" t="s">
        <v>2289</v>
      </c>
      <c r="G243" s="3" t="str">
        <f>"00457505"</f>
        <v>00457505</v>
      </c>
    </row>
    <row r="244" spans="1:7" x14ac:dyDescent="0.25">
      <c r="A244" s="2">
        <v>243</v>
      </c>
      <c r="B244" s="3">
        <v>516</v>
      </c>
      <c r="C244" s="5" t="s">
        <v>3939</v>
      </c>
      <c r="D244" s="5" t="s">
        <v>3200</v>
      </c>
      <c r="E244" s="5" t="s">
        <v>14</v>
      </c>
      <c r="F244" s="3" t="s">
        <v>4195</v>
      </c>
      <c r="G244" s="3" t="str">
        <f>"01016496"</f>
        <v>01016496</v>
      </c>
    </row>
    <row r="245" spans="1:7" x14ac:dyDescent="0.25">
      <c r="A245" s="2">
        <v>244</v>
      </c>
      <c r="B245" s="3">
        <v>7787</v>
      </c>
      <c r="C245" s="5" t="s">
        <v>3939</v>
      </c>
      <c r="D245" s="5" t="s">
        <v>129</v>
      </c>
      <c r="E245" s="5" t="s">
        <v>14</v>
      </c>
      <c r="F245" s="3" t="s">
        <v>3940</v>
      </c>
      <c r="G245" s="3" t="str">
        <f>"00976058"</f>
        <v>00976058</v>
      </c>
    </row>
    <row r="246" spans="1:7" x14ac:dyDescent="0.25">
      <c r="A246" s="2">
        <v>245</v>
      </c>
      <c r="B246" s="3">
        <v>11341</v>
      </c>
      <c r="C246" s="5" t="s">
        <v>3638</v>
      </c>
      <c r="D246" s="5" t="s">
        <v>3074</v>
      </c>
      <c r="E246" s="5" t="s">
        <v>14</v>
      </c>
      <c r="F246" s="3" t="s">
        <v>3639</v>
      </c>
      <c r="G246" s="3" t="str">
        <f>"00995618"</f>
        <v>00995618</v>
      </c>
    </row>
    <row r="247" spans="1:7" x14ac:dyDescent="0.25">
      <c r="A247" s="2">
        <v>246</v>
      </c>
      <c r="B247" s="3">
        <v>10984</v>
      </c>
      <c r="C247" s="5" t="s">
        <v>4689</v>
      </c>
      <c r="D247" s="5" t="s">
        <v>284</v>
      </c>
      <c r="E247" s="5" t="s">
        <v>5</v>
      </c>
      <c r="F247" s="3" t="s">
        <v>4690</v>
      </c>
      <c r="G247" s="3" t="str">
        <f>"00443131"</f>
        <v>00443131</v>
      </c>
    </row>
    <row r="248" spans="1:7" x14ac:dyDescent="0.25">
      <c r="A248" s="2">
        <v>247</v>
      </c>
      <c r="B248" s="3">
        <v>74</v>
      </c>
      <c r="C248" s="5" t="s">
        <v>4753</v>
      </c>
      <c r="D248" s="5" t="s">
        <v>2109</v>
      </c>
      <c r="E248" s="5" t="s">
        <v>11</v>
      </c>
      <c r="F248" s="3" t="s">
        <v>4754</v>
      </c>
      <c r="G248" s="3" t="str">
        <f>"00477711"</f>
        <v>00477711</v>
      </c>
    </row>
    <row r="249" spans="1:7" x14ac:dyDescent="0.25">
      <c r="A249" s="2">
        <v>248</v>
      </c>
      <c r="B249" s="3">
        <v>7610</v>
      </c>
      <c r="C249" s="5" t="s">
        <v>3603</v>
      </c>
      <c r="D249" s="5" t="s">
        <v>11</v>
      </c>
      <c r="E249" s="5" t="s">
        <v>207</v>
      </c>
      <c r="F249" s="3" t="s">
        <v>3604</v>
      </c>
      <c r="G249" s="3" t="str">
        <f>"01017487"</f>
        <v>01017487</v>
      </c>
    </row>
    <row r="250" spans="1:7" x14ac:dyDescent="0.25">
      <c r="A250" s="2">
        <v>249</v>
      </c>
      <c r="B250" s="3">
        <v>343</v>
      </c>
      <c r="C250" s="5" t="s">
        <v>2506</v>
      </c>
      <c r="D250" s="5" t="s">
        <v>24</v>
      </c>
      <c r="E250" s="5" t="s">
        <v>207</v>
      </c>
      <c r="F250" s="3" t="s">
        <v>2507</v>
      </c>
      <c r="G250" s="3" t="str">
        <f>"01010160"</f>
        <v>01010160</v>
      </c>
    </row>
    <row r="251" spans="1:7" x14ac:dyDescent="0.25">
      <c r="A251" s="2">
        <v>250</v>
      </c>
      <c r="B251" s="3">
        <v>7430</v>
      </c>
      <c r="C251" s="5" t="s">
        <v>4388</v>
      </c>
      <c r="D251" s="5" t="s">
        <v>87</v>
      </c>
      <c r="E251" s="5" t="s">
        <v>52</v>
      </c>
      <c r="F251" s="3" t="s">
        <v>4389</v>
      </c>
      <c r="G251" s="3" t="str">
        <f>"00979080"</f>
        <v>00979080</v>
      </c>
    </row>
    <row r="252" spans="1:7" x14ac:dyDescent="0.25">
      <c r="A252" s="2">
        <v>251</v>
      </c>
      <c r="B252" s="3">
        <v>10467</v>
      </c>
      <c r="C252" s="5" t="s">
        <v>3786</v>
      </c>
      <c r="D252" s="5" t="s">
        <v>258</v>
      </c>
      <c r="E252" s="5" t="s">
        <v>11</v>
      </c>
      <c r="F252" s="3" t="s">
        <v>3787</v>
      </c>
      <c r="G252" s="3" t="str">
        <f>"00984031"</f>
        <v>00984031</v>
      </c>
    </row>
    <row r="253" spans="1:7" x14ac:dyDescent="0.25">
      <c r="A253" s="2">
        <v>252</v>
      </c>
      <c r="B253" s="3">
        <v>6785</v>
      </c>
      <c r="C253" s="5" t="s">
        <v>4646</v>
      </c>
      <c r="D253" s="5" t="s">
        <v>94</v>
      </c>
      <c r="E253" s="5" t="s">
        <v>113</v>
      </c>
      <c r="F253" s="3" t="s">
        <v>4647</v>
      </c>
      <c r="G253" s="3" t="str">
        <f>"00547418"</f>
        <v>00547418</v>
      </c>
    </row>
    <row r="254" spans="1:7" x14ac:dyDescent="0.25">
      <c r="A254" s="2">
        <v>253</v>
      </c>
      <c r="B254" s="3">
        <v>5481</v>
      </c>
      <c r="C254" s="5" t="s">
        <v>2318</v>
      </c>
      <c r="D254" s="5" t="s">
        <v>358</v>
      </c>
      <c r="E254" s="5" t="s">
        <v>32</v>
      </c>
      <c r="F254" s="3" t="s">
        <v>2319</v>
      </c>
      <c r="G254" s="3" t="str">
        <f>"01014393"</f>
        <v>01014393</v>
      </c>
    </row>
    <row r="255" spans="1:7" x14ac:dyDescent="0.25">
      <c r="A255" s="2">
        <v>254</v>
      </c>
      <c r="B255" s="3">
        <v>2730</v>
      </c>
      <c r="C255" s="5" t="s">
        <v>3653</v>
      </c>
      <c r="D255" s="5" t="s">
        <v>3652</v>
      </c>
      <c r="E255" s="5" t="s">
        <v>207</v>
      </c>
      <c r="F255" s="3" t="s">
        <v>3654</v>
      </c>
      <c r="G255" s="3" t="str">
        <f>"01010582"</f>
        <v>01010582</v>
      </c>
    </row>
    <row r="256" spans="1:7" x14ac:dyDescent="0.25">
      <c r="A256" s="2">
        <v>255</v>
      </c>
      <c r="B256" s="3">
        <v>817</v>
      </c>
      <c r="C256" s="5" t="s">
        <v>716</v>
      </c>
      <c r="D256" s="5" t="s">
        <v>545</v>
      </c>
      <c r="E256" s="5" t="s">
        <v>14</v>
      </c>
      <c r="F256" s="3" t="s">
        <v>717</v>
      </c>
      <c r="G256" s="3" t="str">
        <f>"201507000335"</f>
        <v>201507000335</v>
      </c>
    </row>
    <row r="257" spans="1:7" x14ac:dyDescent="0.25">
      <c r="A257" s="2">
        <v>256</v>
      </c>
      <c r="B257" s="3">
        <v>7376</v>
      </c>
      <c r="C257" s="5" t="s">
        <v>3544</v>
      </c>
      <c r="D257" s="5" t="s">
        <v>3543</v>
      </c>
      <c r="E257" s="5" t="s">
        <v>11</v>
      </c>
      <c r="F257" s="3" t="s">
        <v>3545</v>
      </c>
      <c r="G257" s="3" t="str">
        <f>"00853032"</f>
        <v>00853032</v>
      </c>
    </row>
    <row r="258" spans="1:7" x14ac:dyDescent="0.25">
      <c r="A258" s="2">
        <v>257</v>
      </c>
      <c r="B258" s="3">
        <v>4793</v>
      </c>
      <c r="C258" s="5" t="s">
        <v>3337</v>
      </c>
      <c r="D258" s="5" t="s">
        <v>162</v>
      </c>
      <c r="E258" s="5" t="s">
        <v>44</v>
      </c>
      <c r="F258" s="3" t="s">
        <v>3338</v>
      </c>
      <c r="G258" s="3" t="str">
        <f>"01015037"</f>
        <v>01015037</v>
      </c>
    </row>
    <row r="259" spans="1:7" x14ac:dyDescent="0.25">
      <c r="A259" s="2">
        <v>258</v>
      </c>
      <c r="B259" s="3">
        <v>5595</v>
      </c>
      <c r="C259" s="5" t="s">
        <v>1263</v>
      </c>
      <c r="D259" s="5" t="s">
        <v>1262</v>
      </c>
      <c r="E259" s="5" t="s">
        <v>4818</v>
      </c>
      <c r="F259" s="3" t="s">
        <v>1264</v>
      </c>
      <c r="G259" s="3" t="str">
        <f>"00017462"</f>
        <v>00017462</v>
      </c>
    </row>
    <row r="260" spans="1:7" x14ac:dyDescent="0.25">
      <c r="A260" s="2">
        <v>259</v>
      </c>
      <c r="B260" s="3">
        <v>5860</v>
      </c>
      <c r="C260" s="5" t="s">
        <v>1843</v>
      </c>
      <c r="D260" s="5" t="s">
        <v>900</v>
      </c>
      <c r="E260" s="5" t="s">
        <v>129</v>
      </c>
      <c r="F260" s="3" t="s">
        <v>1844</v>
      </c>
      <c r="G260" s="3" t="str">
        <f>"01016774"</f>
        <v>01016774</v>
      </c>
    </row>
    <row r="261" spans="1:7" x14ac:dyDescent="0.25">
      <c r="A261" s="2">
        <v>260</v>
      </c>
      <c r="B261" s="3">
        <v>11796</v>
      </c>
      <c r="C261" s="5" t="s">
        <v>3495</v>
      </c>
      <c r="D261" s="5" t="s">
        <v>87</v>
      </c>
      <c r="E261" s="5" t="s">
        <v>635</v>
      </c>
      <c r="F261" s="3" t="s">
        <v>3675</v>
      </c>
      <c r="G261" s="3" t="str">
        <f>"00817275"</f>
        <v>00817275</v>
      </c>
    </row>
    <row r="262" spans="1:7" x14ac:dyDescent="0.25">
      <c r="A262" s="2">
        <v>261</v>
      </c>
      <c r="B262" s="3">
        <v>9961</v>
      </c>
      <c r="C262" s="5" t="s">
        <v>3495</v>
      </c>
      <c r="D262" s="5" t="s">
        <v>44</v>
      </c>
      <c r="E262" s="5" t="s">
        <v>87</v>
      </c>
      <c r="F262" s="3" t="s">
        <v>3496</v>
      </c>
      <c r="G262" s="3" t="str">
        <f>"01015003"</f>
        <v>01015003</v>
      </c>
    </row>
    <row r="263" spans="1:7" x14ac:dyDescent="0.25">
      <c r="A263" s="2">
        <v>262</v>
      </c>
      <c r="B263" s="3">
        <v>3070</v>
      </c>
      <c r="C263" s="5" t="s">
        <v>712</v>
      </c>
      <c r="D263" s="5" t="s">
        <v>711</v>
      </c>
      <c r="E263" s="5" t="s">
        <v>252</v>
      </c>
      <c r="F263" s="3" t="s">
        <v>713</v>
      </c>
      <c r="G263" s="3" t="str">
        <f>"00829922"</f>
        <v>00829922</v>
      </c>
    </row>
    <row r="264" spans="1:7" x14ac:dyDescent="0.25">
      <c r="A264" s="2">
        <v>263</v>
      </c>
      <c r="B264" s="3">
        <v>5732</v>
      </c>
      <c r="C264" s="5" t="s">
        <v>4626</v>
      </c>
      <c r="D264" s="5" t="s">
        <v>113</v>
      </c>
      <c r="E264" s="5" t="s">
        <v>252</v>
      </c>
      <c r="F264" s="3" t="s">
        <v>4627</v>
      </c>
      <c r="G264" s="3" t="str">
        <f>"00823491"</f>
        <v>00823491</v>
      </c>
    </row>
    <row r="265" spans="1:7" x14ac:dyDescent="0.25">
      <c r="A265" s="2">
        <v>264</v>
      </c>
      <c r="B265" s="3">
        <v>727</v>
      </c>
      <c r="C265" s="5" t="s">
        <v>2989</v>
      </c>
      <c r="D265" s="5" t="s">
        <v>644</v>
      </c>
      <c r="E265" s="5" t="s">
        <v>11</v>
      </c>
      <c r="F265" s="3" t="s">
        <v>2990</v>
      </c>
      <c r="G265" s="3" t="str">
        <f>"00147276"</f>
        <v>00147276</v>
      </c>
    </row>
    <row r="266" spans="1:7" x14ac:dyDescent="0.25">
      <c r="A266" s="2">
        <v>265</v>
      </c>
      <c r="B266" s="3">
        <v>12333</v>
      </c>
      <c r="C266" s="5" t="s">
        <v>2151</v>
      </c>
      <c r="D266" s="5" t="s">
        <v>810</v>
      </c>
      <c r="E266" s="5" t="s">
        <v>87</v>
      </c>
      <c r="F266" s="3" t="s">
        <v>2152</v>
      </c>
      <c r="G266" s="3" t="str">
        <f>"00806464"</f>
        <v>00806464</v>
      </c>
    </row>
    <row r="267" spans="1:7" x14ac:dyDescent="0.25">
      <c r="A267" s="2">
        <v>266</v>
      </c>
      <c r="B267" s="3">
        <v>3917</v>
      </c>
      <c r="C267" s="5" t="s">
        <v>1725</v>
      </c>
      <c r="D267" s="5" t="s">
        <v>52</v>
      </c>
      <c r="E267" s="5" t="s">
        <v>32</v>
      </c>
      <c r="F267" s="3" t="s">
        <v>1726</v>
      </c>
      <c r="G267" s="3" t="str">
        <f>"00983793"</f>
        <v>00983793</v>
      </c>
    </row>
    <row r="268" spans="1:7" x14ac:dyDescent="0.25">
      <c r="A268" s="2">
        <v>267</v>
      </c>
      <c r="B268" s="3">
        <v>7516</v>
      </c>
      <c r="C268" s="5" t="s">
        <v>4680</v>
      </c>
      <c r="D268" s="5" t="s">
        <v>41</v>
      </c>
      <c r="E268" s="5" t="s">
        <v>41</v>
      </c>
      <c r="F268" s="3" t="s">
        <v>4681</v>
      </c>
      <c r="G268" s="3" t="str">
        <f>"00981168"</f>
        <v>00981168</v>
      </c>
    </row>
    <row r="269" spans="1:7" x14ac:dyDescent="0.25">
      <c r="A269" s="2">
        <v>268</v>
      </c>
      <c r="B269" s="3">
        <v>9715</v>
      </c>
      <c r="C269" s="5" t="s">
        <v>4494</v>
      </c>
      <c r="D269" s="5" t="s">
        <v>52</v>
      </c>
      <c r="E269" s="5" t="s">
        <v>129</v>
      </c>
      <c r="F269" s="3" t="s">
        <v>4495</v>
      </c>
      <c r="G269" s="3" t="str">
        <f>"00341986"</f>
        <v>00341986</v>
      </c>
    </row>
    <row r="270" spans="1:7" x14ac:dyDescent="0.25">
      <c r="A270" s="2">
        <v>269</v>
      </c>
      <c r="B270" s="3">
        <v>5844</v>
      </c>
      <c r="C270" s="5" t="s">
        <v>4455</v>
      </c>
      <c r="D270" s="5" t="s">
        <v>1421</v>
      </c>
      <c r="E270" s="5" t="s">
        <v>252</v>
      </c>
      <c r="F270" s="3" t="s">
        <v>4456</v>
      </c>
      <c r="G270" s="3" t="str">
        <f>"00816323"</f>
        <v>00816323</v>
      </c>
    </row>
    <row r="271" spans="1:7" x14ac:dyDescent="0.25">
      <c r="A271" s="2">
        <v>270</v>
      </c>
      <c r="B271" s="3">
        <v>12673</v>
      </c>
      <c r="C271" s="5" t="s">
        <v>4130</v>
      </c>
      <c r="D271" s="5" t="s">
        <v>44</v>
      </c>
      <c r="E271" s="5" t="s">
        <v>52</v>
      </c>
      <c r="F271" s="3" t="s">
        <v>4131</v>
      </c>
      <c r="G271" s="3" t="str">
        <f>"01013468"</f>
        <v>01013468</v>
      </c>
    </row>
    <row r="272" spans="1:7" x14ac:dyDescent="0.25">
      <c r="A272" s="2">
        <v>271</v>
      </c>
      <c r="B272" s="3">
        <v>1526</v>
      </c>
      <c r="C272" s="5" t="s">
        <v>719</v>
      </c>
      <c r="D272" s="5" t="s">
        <v>126</v>
      </c>
      <c r="E272" s="5" t="s">
        <v>135</v>
      </c>
      <c r="F272" s="3" t="s">
        <v>720</v>
      </c>
      <c r="G272" s="3" t="str">
        <f>"00874926"</f>
        <v>00874926</v>
      </c>
    </row>
    <row r="273" spans="1:7" x14ac:dyDescent="0.25">
      <c r="A273" s="2">
        <v>272</v>
      </c>
      <c r="B273" s="3">
        <v>9613</v>
      </c>
      <c r="C273" s="5" t="s">
        <v>28</v>
      </c>
      <c r="D273" s="5" t="s">
        <v>27</v>
      </c>
      <c r="E273" s="5" t="s">
        <v>52</v>
      </c>
      <c r="F273" s="3">
        <v>32871</v>
      </c>
      <c r="G273" s="3" t="str">
        <f>"01015887"</f>
        <v>01015887</v>
      </c>
    </row>
    <row r="274" spans="1:7" x14ac:dyDescent="0.25">
      <c r="A274" s="2">
        <v>273</v>
      </c>
      <c r="B274" s="3">
        <v>4046</v>
      </c>
      <c r="C274" s="5" t="s">
        <v>4201</v>
      </c>
      <c r="D274" s="5" t="s">
        <v>87</v>
      </c>
      <c r="E274" s="5" t="s">
        <v>11</v>
      </c>
      <c r="F274" s="3" t="s">
        <v>4202</v>
      </c>
      <c r="G274" s="3" t="str">
        <f>"01007142"</f>
        <v>01007142</v>
      </c>
    </row>
    <row r="275" spans="1:7" x14ac:dyDescent="0.25">
      <c r="A275" s="2">
        <v>274</v>
      </c>
      <c r="B275" s="3">
        <v>11909</v>
      </c>
      <c r="C275" s="5" t="s">
        <v>1814</v>
      </c>
      <c r="D275" s="5" t="s">
        <v>284</v>
      </c>
      <c r="E275" s="5" t="s">
        <v>184</v>
      </c>
      <c r="F275" s="3" t="s">
        <v>1815</v>
      </c>
      <c r="G275" s="3" t="str">
        <f>"00822320"</f>
        <v>00822320</v>
      </c>
    </row>
    <row r="276" spans="1:7" x14ac:dyDescent="0.25">
      <c r="A276" s="2">
        <v>275</v>
      </c>
      <c r="B276" s="3">
        <v>2523</v>
      </c>
      <c r="C276" s="5" t="s">
        <v>3715</v>
      </c>
      <c r="D276" s="5" t="s">
        <v>3714</v>
      </c>
      <c r="E276" s="5" t="s">
        <v>44</v>
      </c>
      <c r="F276" s="3" t="s">
        <v>3716</v>
      </c>
      <c r="G276" s="3" t="str">
        <f>"00982820"</f>
        <v>00982820</v>
      </c>
    </row>
    <row r="277" spans="1:7" x14ac:dyDescent="0.25">
      <c r="A277" s="2">
        <v>276</v>
      </c>
      <c r="B277" s="3">
        <v>5988</v>
      </c>
      <c r="C277" s="5" t="s">
        <v>1285</v>
      </c>
      <c r="D277" s="5" t="s">
        <v>159</v>
      </c>
      <c r="E277" s="5" t="s">
        <v>284</v>
      </c>
      <c r="F277" s="3" t="s">
        <v>1286</v>
      </c>
      <c r="G277" s="3" t="str">
        <f>"00213057"</f>
        <v>00213057</v>
      </c>
    </row>
    <row r="278" spans="1:7" x14ac:dyDescent="0.25">
      <c r="A278" s="2">
        <v>277</v>
      </c>
      <c r="B278" s="3">
        <v>3326</v>
      </c>
      <c r="C278" s="5" t="s">
        <v>1505</v>
      </c>
      <c r="D278" s="5" t="s">
        <v>41</v>
      </c>
      <c r="E278" s="5" t="s">
        <v>635</v>
      </c>
      <c r="F278" s="3" t="s">
        <v>1506</v>
      </c>
      <c r="G278" s="3" t="str">
        <f>"00441031"</f>
        <v>00441031</v>
      </c>
    </row>
    <row r="279" spans="1:7" x14ac:dyDescent="0.25">
      <c r="A279" s="2">
        <v>278</v>
      </c>
      <c r="B279" s="3">
        <v>12</v>
      </c>
      <c r="C279" s="5" t="s">
        <v>39</v>
      </c>
      <c r="D279" s="5" t="s">
        <v>38</v>
      </c>
      <c r="E279" s="5" t="s">
        <v>951</v>
      </c>
      <c r="F279" s="3" t="s">
        <v>40</v>
      </c>
      <c r="G279" s="3" t="str">
        <f>"00804477"</f>
        <v>00804477</v>
      </c>
    </row>
    <row r="280" spans="1:7" x14ac:dyDescent="0.25">
      <c r="A280" s="2">
        <v>279</v>
      </c>
      <c r="B280" s="3">
        <v>4022</v>
      </c>
      <c r="C280" s="5" t="s">
        <v>2316</v>
      </c>
      <c r="D280" s="5" t="s">
        <v>44</v>
      </c>
      <c r="E280" s="5" t="s">
        <v>1023</v>
      </c>
      <c r="F280" s="3" t="s">
        <v>2317</v>
      </c>
      <c r="G280" s="3" t="str">
        <f>"00705421"</f>
        <v>00705421</v>
      </c>
    </row>
    <row r="281" spans="1:7" x14ac:dyDescent="0.25">
      <c r="A281" s="2">
        <v>280</v>
      </c>
      <c r="B281" s="3">
        <v>3886</v>
      </c>
      <c r="C281" s="5" t="s">
        <v>4030</v>
      </c>
      <c r="D281" s="5" t="s">
        <v>416</v>
      </c>
      <c r="E281" s="5" t="s">
        <v>4918</v>
      </c>
      <c r="F281" s="3" t="s">
        <v>4621</v>
      </c>
      <c r="G281" s="3" t="str">
        <f>"01015351"</f>
        <v>01015351</v>
      </c>
    </row>
    <row r="282" spans="1:7" x14ac:dyDescent="0.25">
      <c r="A282" s="2">
        <v>281</v>
      </c>
      <c r="B282" s="3">
        <v>12398</v>
      </c>
      <c r="C282" s="5" t="s">
        <v>4030</v>
      </c>
      <c r="D282" s="5" t="s">
        <v>198</v>
      </c>
      <c r="E282" s="5" t="s">
        <v>609</v>
      </c>
      <c r="F282" s="3" t="s">
        <v>4031</v>
      </c>
      <c r="G282" s="3" t="str">
        <f>"00979086"</f>
        <v>00979086</v>
      </c>
    </row>
    <row r="283" spans="1:7" x14ac:dyDescent="0.25">
      <c r="A283" s="2">
        <v>282</v>
      </c>
      <c r="B283" s="3">
        <v>10639</v>
      </c>
      <c r="C283" s="5" t="s">
        <v>1066</v>
      </c>
      <c r="D283" s="5" t="s">
        <v>207</v>
      </c>
      <c r="E283" s="5" t="s">
        <v>11</v>
      </c>
      <c r="F283" s="3" t="s">
        <v>1067</v>
      </c>
      <c r="G283" s="3" t="str">
        <f>"00268130"</f>
        <v>00268130</v>
      </c>
    </row>
    <row r="284" spans="1:7" x14ac:dyDescent="0.25">
      <c r="A284" s="2">
        <v>283</v>
      </c>
      <c r="B284" s="3">
        <v>10279</v>
      </c>
      <c r="C284" s="5" t="s">
        <v>2137</v>
      </c>
      <c r="D284" s="5" t="s">
        <v>32</v>
      </c>
      <c r="E284" s="5" t="s">
        <v>102</v>
      </c>
      <c r="F284" s="3">
        <v>91309</v>
      </c>
      <c r="G284" s="3" t="str">
        <f>"00447781"</f>
        <v>00447781</v>
      </c>
    </row>
    <row r="285" spans="1:7" x14ac:dyDescent="0.25">
      <c r="A285" s="2">
        <v>284</v>
      </c>
      <c r="B285" s="3">
        <v>7826</v>
      </c>
      <c r="C285" s="5" t="s">
        <v>1806</v>
      </c>
      <c r="D285" s="5" t="s">
        <v>159</v>
      </c>
      <c r="E285" s="5" t="s">
        <v>44</v>
      </c>
      <c r="F285" s="3" t="s">
        <v>1807</v>
      </c>
      <c r="G285" s="3" t="str">
        <f>"00546915"</f>
        <v>00546915</v>
      </c>
    </row>
    <row r="286" spans="1:7" x14ac:dyDescent="0.25">
      <c r="A286" s="2">
        <v>285</v>
      </c>
      <c r="B286" s="3">
        <v>5747</v>
      </c>
      <c r="C286" s="5" t="s">
        <v>2220</v>
      </c>
      <c r="D286" s="5" t="s">
        <v>41</v>
      </c>
      <c r="E286" s="5" t="s">
        <v>252</v>
      </c>
      <c r="F286" s="3" t="s">
        <v>2221</v>
      </c>
      <c r="G286" s="3" t="str">
        <f>"00167725"</f>
        <v>00167725</v>
      </c>
    </row>
    <row r="287" spans="1:7" x14ac:dyDescent="0.25">
      <c r="A287" s="2">
        <v>286</v>
      </c>
      <c r="B287" s="3">
        <v>12625</v>
      </c>
      <c r="C287" s="5" t="s">
        <v>690</v>
      </c>
      <c r="D287" s="5" t="s">
        <v>113</v>
      </c>
      <c r="E287" s="5" t="s">
        <v>44</v>
      </c>
      <c r="F287" s="3" t="s">
        <v>3238</v>
      </c>
      <c r="G287" s="3" t="str">
        <f>"00797978"</f>
        <v>00797978</v>
      </c>
    </row>
    <row r="288" spans="1:7" x14ac:dyDescent="0.25">
      <c r="A288" s="2">
        <v>287</v>
      </c>
      <c r="B288" s="3">
        <v>8040</v>
      </c>
      <c r="C288" s="5" t="s">
        <v>690</v>
      </c>
      <c r="D288" s="5" t="s">
        <v>44</v>
      </c>
      <c r="E288" s="5" t="s">
        <v>27</v>
      </c>
      <c r="F288" s="3" t="s">
        <v>4419</v>
      </c>
      <c r="G288" s="3" t="str">
        <f>"01001615"</f>
        <v>01001615</v>
      </c>
    </row>
    <row r="289" spans="1:7" x14ac:dyDescent="0.25">
      <c r="A289" s="2">
        <v>288</v>
      </c>
      <c r="B289" s="3">
        <v>7362</v>
      </c>
      <c r="C289" s="5" t="s">
        <v>690</v>
      </c>
      <c r="D289" s="5" t="s">
        <v>129</v>
      </c>
      <c r="E289" s="5" t="s">
        <v>252</v>
      </c>
      <c r="F289" s="3" t="s">
        <v>2806</v>
      </c>
      <c r="G289" s="3" t="str">
        <f>"201507000248"</f>
        <v>201507000248</v>
      </c>
    </row>
    <row r="290" spans="1:7" x14ac:dyDescent="0.25">
      <c r="A290" s="2">
        <v>289</v>
      </c>
      <c r="B290" s="3">
        <v>6329</v>
      </c>
      <c r="C290" s="5" t="s">
        <v>690</v>
      </c>
      <c r="D290" s="5" t="s">
        <v>38</v>
      </c>
      <c r="E290" s="5" t="s">
        <v>32</v>
      </c>
      <c r="F290" s="3" t="s">
        <v>691</v>
      </c>
      <c r="G290" s="3" t="str">
        <f>"00446667"</f>
        <v>00446667</v>
      </c>
    </row>
    <row r="291" spans="1:7" x14ac:dyDescent="0.25">
      <c r="A291" s="2">
        <v>290</v>
      </c>
      <c r="B291" s="3">
        <v>2107</v>
      </c>
      <c r="C291" s="5" t="s">
        <v>2991</v>
      </c>
      <c r="D291" s="5" t="s">
        <v>2608</v>
      </c>
      <c r="E291" s="5" t="s">
        <v>284</v>
      </c>
      <c r="F291" s="3" t="s">
        <v>2992</v>
      </c>
      <c r="G291" s="3" t="str">
        <f>"00985469"</f>
        <v>00985469</v>
      </c>
    </row>
    <row r="292" spans="1:7" x14ac:dyDescent="0.25">
      <c r="A292" s="2">
        <v>291</v>
      </c>
      <c r="B292" s="3">
        <v>1317</v>
      </c>
      <c r="C292" s="5" t="s">
        <v>3109</v>
      </c>
      <c r="D292" s="5" t="s">
        <v>32</v>
      </c>
      <c r="E292" s="5" t="s">
        <v>87</v>
      </c>
      <c r="F292" s="3" t="s">
        <v>3110</v>
      </c>
      <c r="G292" s="3" t="str">
        <f>"00985927"</f>
        <v>00985927</v>
      </c>
    </row>
    <row r="293" spans="1:7" x14ac:dyDescent="0.25">
      <c r="A293" s="2">
        <v>292</v>
      </c>
      <c r="B293" s="3">
        <v>6307</v>
      </c>
      <c r="C293" s="5" t="s">
        <v>2278</v>
      </c>
      <c r="D293" s="5" t="s">
        <v>1212</v>
      </c>
      <c r="E293" s="5" t="s">
        <v>14</v>
      </c>
      <c r="F293" s="3" t="s">
        <v>2279</v>
      </c>
      <c r="G293" s="3" t="str">
        <f>"00454410"</f>
        <v>00454410</v>
      </c>
    </row>
    <row r="294" spans="1:7" x14ac:dyDescent="0.25">
      <c r="A294" s="2">
        <v>293</v>
      </c>
      <c r="B294" s="3">
        <v>9920</v>
      </c>
      <c r="C294" s="5" t="s">
        <v>2278</v>
      </c>
      <c r="D294" s="5" t="s">
        <v>558</v>
      </c>
      <c r="E294" s="5" t="s">
        <v>5</v>
      </c>
      <c r="F294" s="3" t="s">
        <v>2809</v>
      </c>
      <c r="G294" s="3" t="str">
        <f>"01010768"</f>
        <v>01010768</v>
      </c>
    </row>
    <row r="295" spans="1:7" x14ac:dyDescent="0.25">
      <c r="A295" s="2">
        <v>294</v>
      </c>
      <c r="B295" s="3">
        <v>1973</v>
      </c>
      <c r="C295" s="5" t="s">
        <v>1603</v>
      </c>
      <c r="D295" s="5" t="s">
        <v>545</v>
      </c>
      <c r="E295" s="5" t="s">
        <v>667</v>
      </c>
      <c r="F295" s="3" t="s">
        <v>1604</v>
      </c>
      <c r="G295" s="3" t="str">
        <f>"00809632"</f>
        <v>00809632</v>
      </c>
    </row>
    <row r="296" spans="1:7" x14ac:dyDescent="0.25">
      <c r="A296" s="2">
        <v>295</v>
      </c>
      <c r="B296" s="3">
        <v>8335</v>
      </c>
      <c r="C296" s="5" t="s">
        <v>4650</v>
      </c>
      <c r="D296" s="5" t="s">
        <v>366</v>
      </c>
      <c r="E296" s="5" t="s">
        <v>87</v>
      </c>
      <c r="F296" s="3" t="s">
        <v>4651</v>
      </c>
      <c r="G296" s="3" t="str">
        <f>"00812934"</f>
        <v>00812934</v>
      </c>
    </row>
    <row r="297" spans="1:7" x14ac:dyDescent="0.25">
      <c r="A297" s="2">
        <v>296</v>
      </c>
      <c r="B297" s="3">
        <v>11145</v>
      </c>
      <c r="C297" s="5" t="s">
        <v>1879</v>
      </c>
      <c r="D297" s="5" t="s">
        <v>14</v>
      </c>
      <c r="E297" s="5" t="s">
        <v>44</v>
      </c>
      <c r="F297" s="3" t="s">
        <v>1880</v>
      </c>
      <c r="G297" s="3" t="str">
        <f>"00768216"</f>
        <v>00768216</v>
      </c>
    </row>
    <row r="298" spans="1:7" x14ac:dyDescent="0.25">
      <c r="A298" s="2">
        <v>297</v>
      </c>
      <c r="B298" s="3">
        <v>12106</v>
      </c>
      <c r="C298" s="5" t="s">
        <v>1042</v>
      </c>
      <c r="D298" s="5" t="s">
        <v>1041</v>
      </c>
      <c r="E298" s="5" t="s">
        <v>14</v>
      </c>
      <c r="F298" s="3" t="s">
        <v>1043</v>
      </c>
      <c r="G298" s="3" t="str">
        <f>"00407431"</f>
        <v>00407431</v>
      </c>
    </row>
    <row r="299" spans="1:7" x14ac:dyDescent="0.25">
      <c r="A299" s="2">
        <v>298</v>
      </c>
      <c r="B299" s="3">
        <v>826</v>
      </c>
      <c r="C299" s="5" t="s">
        <v>4196</v>
      </c>
      <c r="D299" s="5" t="s">
        <v>198</v>
      </c>
      <c r="E299" s="5" t="s">
        <v>11</v>
      </c>
      <c r="F299" s="3" t="s">
        <v>4197</v>
      </c>
      <c r="G299" s="3" t="str">
        <f>"201511043672"</f>
        <v>201511043672</v>
      </c>
    </row>
    <row r="300" spans="1:7" x14ac:dyDescent="0.25">
      <c r="A300" s="2">
        <v>299</v>
      </c>
      <c r="B300" s="3">
        <v>3963</v>
      </c>
      <c r="C300" s="5" t="s">
        <v>4180</v>
      </c>
      <c r="D300" s="5" t="s">
        <v>4179</v>
      </c>
      <c r="E300" s="5" t="s">
        <v>94</v>
      </c>
      <c r="F300" s="3" t="s">
        <v>4181</v>
      </c>
      <c r="G300" s="3" t="str">
        <f>"00984966"</f>
        <v>00984966</v>
      </c>
    </row>
    <row r="301" spans="1:7" x14ac:dyDescent="0.25">
      <c r="A301" s="2">
        <v>300</v>
      </c>
      <c r="B301" s="3">
        <v>11720</v>
      </c>
      <c r="C301" s="5" t="s">
        <v>845</v>
      </c>
      <c r="D301" s="5" t="s">
        <v>844</v>
      </c>
      <c r="E301" s="5" t="s">
        <v>4806</v>
      </c>
      <c r="F301" s="3" t="s">
        <v>846</v>
      </c>
      <c r="G301" s="3" t="str">
        <f>"00305358"</f>
        <v>00305358</v>
      </c>
    </row>
    <row r="302" spans="1:7" x14ac:dyDescent="0.25">
      <c r="A302" s="2">
        <v>301</v>
      </c>
      <c r="B302" s="3">
        <v>2766</v>
      </c>
      <c r="C302" s="5" t="s">
        <v>4533</v>
      </c>
      <c r="D302" s="5" t="s">
        <v>32</v>
      </c>
      <c r="E302" s="5" t="s">
        <v>63</v>
      </c>
      <c r="F302" s="3" t="s">
        <v>4534</v>
      </c>
      <c r="G302" s="3" t="str">
        <f>"01013216"</f>
        <v>01013216</v>
      </c>
    </row>
    <row r="303" spans="1:7" x14ac:dyDescent="0.25">
      <c r="A303" s="2">
        <v>302</v>
      </c>
      <c r="B303" s="3">
        <v>10673</v>
      </c>
      <c r="C303" s="5" t="s">
        <v>2206</v>
      </c>
      <c r="D303" s="5" t="s">
        <v>113</v>
      </c>
      <c r="E303" s="5" t="s">
        <v>38</v>
      </c>
      <c r="F303" s="3" t="s">
        <v>2207</v>
      </c>
      <c r="G303" s="3" t="str">
        <f>"00984707"</f>
        <v>00984707</v>
      </c>
    </row>
    <row r="304" spans="1:7" x14ac:dyDescent="0.25">
      <c r="A304" s="2">
        <v>303</v>
      </c>
      <c r="B304" s="3">
        <v>1801</v>
      </c>
      <c r="C304" s="5" t="s">
        <v>2337</v>
      </c>
      <c r="D304" s="5" t="s">
        <v>619</v>
      </c>
      <c r="E304" s="5" t="s">
        <v>32</v>
      </c>
      <c r="F304" s="3" t="s">
        <v>2338</v>
      </c>
      <c r="G304" s="3" t="str">
        <f>"00926561"</f>
        <v>00926561</v>
      </c>
    </row>
    <row r="305" spans="1:7" x14ac:dyDescent="0.25">
      <c r="A305" s="2">
        <v>304</v>
      </c>
      <c r="B305" s="3">
        <v>12199</v>
      </c>
      <c r="C305" s="5" t="s">
        <v>2170</v>
      </c>
      <c r="D305" s="5" t="s">
        <v>11</v>
      </c>
      <c r="E305" s="5" t="s">
        <v>63</v>
      </c>
      <c r="F305" s="3" t="s">
        <v>2171</v>
      </c>
      <c r="G305" s="3" t="str">
        <f>"00984252"</f>
        <v>00984252</v>
      </c>
    </row>
    <row r="306" spans="1:7" x14ac:dyDescent="0.25">
      <c r="A306" s="2">
        <v>305</v>
      </c>
      <c r="B306" s="3">
        <v>9221</v>
      </c>
      <c r="C306" s="5" t="s">
        <v>1590</v>
      </c>
      <c r="D306" s="5" t="s">
        <v>1589</v>
      </c>
      <c r="E306" s="5" t="s">
        <v>52</v>
      </c>
      <c r="F306" s="3">
        <v>33853</v>
      </c>
      <c r="G306" s="3" t="str">
        <f>"01016124"</f>
        <v>01016124</v>
      </c>
    </row>
    <row r="307" spans="1:7" x14ac:dyDescent="0.25">
      <c r="A307" s="2">
        <v>306</v>
      </c>
      <c r="B307" s="3">
        <v>3065</v>
      </c>
      <c r="C307" s="5" t="s">
        <v>3982</v>
      </c>
      <c r="D307" s="5" t="s">
        <v>126</v>
      </c>
      <c r="E307" s="5" t="s">
        <v>14</v>
      </c>
      <c r="F307" s="3" t="s">
        <v>3983</v>
      </c>
      <c r="G307" s="3" t="str">
        <f>"00604742"</f>
        <v>00604742</v>
      </c>
    </row>
    <row r="308" spans="1:7" x14ac:dyDescent="0.25">
      <c r="A308" s="2">
        <v>307</v>
      </c>
      <c r="B308" s="3">
        <v>278</v>
      </c>
      <c r="C308" s="5" t="s">
        <v>2086</v>
      </c>
      <c r="D308" s="5" t="s">
        <v>858</v>
      </c>
      <c r="E308" s="5" t="s">
        <v>87</v>
      </c>
      <c r="F308" s="3" t="s">
        <v>2087</v>
      </c>
      <c r="G308" s="3" t="str">
        <f>"00651295"</f>
        <v>00651295</v>
      </c>
    </row>
    <row r="309" spans="1:7" x14ac:dyDescent="0.25">
      <c r="A309" s="2">
        <v>308</v>
      </c>
      <c r="B309" s="3">
        <v>1892</v>
      </c>
      <c r="C309" s="5" t="s">
        <v>946</v>
      </c>
      <c r="D309" s="5" t="s">
        <v>14</v>
      </c>
      <c r="E309" s="5" t="s">
        <v>52</v>
      </c>
      <c r="F309" s="3">
        <v>709388016</v>
      </c>
      <c r="G309" s="3" t="str">
        <f>"01014225"</f>
        <v>01014225</v>
      </c>
    </row>
    <row r="310" spans="1:7" x14ac:dyDescent="0.25">
      <c r="A310" s="2">
        <v>309</v>
      </c>
      <c r="B310" s="3">
        <v>541</v>
      </c>
      <c r="C310" s="5" t="s">
        <v>2869</v>
      </c>
      <c r="D310" s="5" t="s">
        <v>1046</v>
      </c>
      <c r="E310" s="5" t="s">
        <v>4796</v>
      </c>
      <c r="F310" s="3" t="s">
        <v>2870</v>
      </c>
      <c r="G310" s="3" t="str">
        <f>"01013477"</f>
        <v>01013477</v>
      </c>
    </row>
    <row r="311" spans="1:7" x14ac:dyDescent="0.25">
      <c r="A311" s="2">
        <v>310</v>
      </c>
      <c r="B311" s="3">
        <v>12991</v>
      </c>
      <c r="C311" s="5" t="s">
        <v>3819</v>
      </c>
      <c r="D311" s="5" t="s">
        <v>545</v>
      </c>
      <c r="E311" s="5" t="s">
        <v>14</v>
      </c>
      <c r="F311" s="3" t="s">
        <v>3820</v>
      </c>
      <c r="G311" s="3" t="str">
        <f>"00447311"</f>
        <v>00447311</v>
      </c>
    </row>
    <row r="312" spans="1:7" x14ac:dyDescent="0.25">
      <c r="A312" s="2">
        <v>311</v>
      </c>
      <c r="B312" s="3">
        <v>1465</v>
      </c>
      <c r="C312" s="5" t="s">
        <v>1443</v>
      </c>
      <c r="D312" s="5" t="s">
        <v>207</v>
      </c>
      <c r="E312" s="5" t="s">
        <v>113</v>
      </c>
      <c r="F312" s="3" t="s">
        <v>1444</v>
      </c>
      <c r="G312" s="3" t="str">
        <f>"201502002911"</f>
        <v>201502002911</v>
      </c>
    </row>
    <row r="313" spans="1:7" x14ac:dyDescent="0.25">
      <c r="A313" s="2">
        <v>312</v>
      </c>
      <c r="B313" s="3">
        <v>6417</v>
      </c>
      <c r="C313" s="5" t="s">
        <v>1918</v>
      </c>
      <c r="D313" s="5" t="s">
        <v>1926</v>
      </c>
      <c r="E313" s="5" t="s">
        <v>14</v>
      </c>
      <c r="F313" s="3" t="s">
        <v>1927</v>
      </c>
      <c r="G313" s="3" t="str">
        <f>"01009093"</f>
        <v>01009093</v>
      </c>
    </row>
    <row r="314" spans="1:7" x14ac:dyDescent="0.25">
      <c r="A314" s="2">
        <v>313</v>
      </c>
      <c r="B314" s="3">
        <v>6893</v>
      </c>
      <c r="C314" s="5" t="s">
        <v>1918</v>
      </c>
      <c r="D314" s="5" t="s">
        <v>82</v>
      </c>
      <c r="E314" s="5" t="s">
        <v>129</v>
      </c>
      <c r="F314" s="3" t="s">
        <v>3397</v>
      </c>
      <c r="G314" s="3" t="str">
        <f>"201604000647"</f>
        <v>201604000647</v>
      </c>
    </row>
    <row r="315" spans="1:7" x14ac:dyDescent="0.25">
      <c r="A315" s="2">
        <v>314</v>
      </c>
      <c r="B315" s="3">
        <v>5524</v>
      </c>
      <c r="C315" s="5" t="s">
        <v>1918</v>
      </c>
      <c r="D315" s="5" t="s">
        <v>14</v>
      </c>
      <c r="E315" s="5" t="s">
        <v>4910</v>
      </c>
      <c r="F315" s="3" t="s">
        <v>4377</v>
      </c>
      <c r="G315" s="3" t="str">
        <f>"00970617"</f>
        <v>00970617</v>
      </c>
    </row>
    <row r="316" spans="1:7" x14ac:dyDescent="0.25">
      <c r="A316" s="2">
        <v>315</v>
      </c>
      <c r="B316" s="3">
        <v>132</v>
      </c>
      <c r="C316" s="5" t="s">
        <v>1918</v>
      </c>
      <c r="D316" s="5" t="s">
        <v>1917</v>
      </c>
      <c r="E316" s="5" t="s">
        <v>4837</v>
      </c>
      <c r="F316" s="3" t="s">
        <v>1919</v>
      </c>
      <c r="G316" s="3" t="str">
        <f>"00986162"</f>
        <v>00986162</v>
      </c>
    </row>
    <row r="317" spans="1:7" x14ac:dyDescent="0.25">
      <c r="A317" s="2">
        <v>316</v>
      </c>
      <c r="B317" s="3">
        <v>12166</v>
      </c>
      <c r="C317" s="5" t="s">
        <v>1784</v>
      </c>
      <c r="D317" s="5" t="s">
        <v>126</v>
      </c>
      <c r="E317" s="5" t="s">
        <v>129</v>
      </c>
      <c r="F317" s="3">
        <v>2015030</v>
      </c>
      <c r="G317" s="3" t="str">
        <f>"00976553"</f>
        <v>00976553</v>
      </c>
    </row>
    <row r="318" spans="1:7" x14ac:dyDescent="0.25">
      <c r="A318" s="2">
        <v>317</v>
      </c>
      <c r="B318" s="3">
        <v>4627</v>
      </c>
      <c r="C318" s="5" t="s">
        <v>3158</v>
      </c>
      <c r="D318" s="5" t="s">
        <v>198</v>
      </c>
      <c r="E318" s="5" t="s">
        <v>94</v>
      </c>
      <c r="F318" s="3" t="s">
        <v>3159</v>
      </c>
      <c r="G318" s="3" t="str">
        <f>"00980835"</f>
        <v>00980835</v>
      </c>
    </row>
    <row r="319" spans="1:7" x14ac:dyDescent="0.25">
      <c r="A319" s="2">
        <v>318</v>
      </c>
      <c r="B319" s="3">
        <v>6163</v>
      </c>
      <c r="C319" s="5" t="s">
        <v>1266</v>
      </c>
      <c r="D319" s="5" t="s">
        <v>184</v>
      </c>
      <c r="E319" s="5" t="s">
        <v>14</v>
      </c>
      <c r="F319" s="3" t="s">
        <v>1267</v>
      </c>
      <c r="G319" s="3" t="str">
        <f>"00985978"</f>
        <v>00985978</v>
      </c>
    </row>
    <row r="320" spans="1:7" x14ac:dyDescent="0.25">
      <c r="A320" s="2">
        <v>319</v>
      </c>
      <c r="B320" s="3">
        <v>1744</v>
      </c>
      <c r="C320" s="5" t="s">
        <v>1266</v>
      </c>
      <c r="D320" s="5" t="s">
        <v>1819</v>
      </c>
      <c r="E320" s="5" t="s">
        <v>87</v>
      </c>
      <c r="F320" s="3" t="s">
        <v>1820</v>
      </c>
      <c r="G320" s="3" t="str">
        <f>"01016689"</f>
        <v>01016689</v>
      </c>
    </row>
    <row r="321" spans="1:7" x14ac:dyDescent="0.25">
      <c r="A321" s="2">
        <v>320</v>
      </c>
      <c r="B321" s="3">
        <v>10391</v>
      </c>
      <c r="C321" s="5" t="s">
        <v>1534</v>
      </c>
      <c r="D321" s="5" t="s">
        <v>951</v>
      </c>
      <c r="E321" s="5" t="s">
        <v>635</v>
      </c>
      <c r="F321" s="3" t="s">
        <v>1535</v>
      </c>
      <c r="G321" s="3" t="str">
        <f>"00040322"</f>
        <v>00040322</v>
      </c>
    </row>
    <row r="322" spans="1:7" x14ac:dyDescent="0.25">
      <c r="A322" s="2">
        <v>321</v>
      </c>
      <c r="B322" s="3">
        <v>12977</v>
      </c>
      <c r="C322" s="5" t="s">
        <v>4132</v>
      </c>
      <c r="D322" s="5" t="s">
        <v>284</v>
      </c>
      <c r="E322" s="5" t="s">
        <v>609</v>
      </c>
      <c r="F322" s="3" t="s">
        <v>4133</v>
      </c>
      <c r="G322" s="3" t="str">
        <f>"01012178"</f>
        <v>01012178</v>
      </c>
    </row>
    <row r="323" spans="1:7" x14ac:dyDescent="0.25">
      <c r="A323" s="2">
        <v>322</v>
      </c>
      <c r="B323" s="3">
        <v>10244</v>
      </c>
      <c r="C323" s="5" t="s">
        <v>318</v>
      </c>
      <c r="D323" s="5" t="s">
        <v>87</v>
      </c>
      <c r="E323" s="5" t="s">
        <v>52</v>
      </c>
      <c r="F323" s="3" t="s">
        <v>319</v>
      </c>
      <c r="G323" s="3" t="str">
        <f>"00349972"</f>
        <v>00349972</v>
      </c>
    </row>
    <row r="324" spans="1:7" x14ac:dyDescent="0.25">
      <c r="A324" s="2">
        <v>323</v>
      </c>
      <c r="B324" s="3">
        <v>4166</v>
      </c>
      <c r="C324" s="5" t="s">
        <v>2180</v>
      </c>
      <c r="D324" s="5" t="s">
        <v>24</v>
      </c>
      <c r="E324" s="5" t="s">
        <v>87</v>
      </c>
      <c r="F324" s="3" t="s">
        <v>2181</v>
      </c>
      <c r="G324" s="3" t="str">
        <f>"00984339"</f>
        <v>00984339</v>
      </c>
    </row>
    <row r="325" spans="1:7" x14ac:dyDescent="0.25">
      <c r="A325" s="2">
        <v>324</v>
      </c>
      <c r="B325" s="3">
        <v>11282</v>
      </c>
      <c r="C325" s="5" t="s">
        <v>3620</v>
      </c>
      <c r="D325" s="5" t="s">
        <v>3619</v>
      </c>
      <c r="E325" s="5" t="s">
        <v>2608</v>
      </c>
      <c r="F325" s="3" t="s">
        <v>3621</v>
      </c>
      <c r="G325" s="3" t="str">
        <f>"00791230"</f>
        <v>00791230</v>
      </c>
    </row>
    <row r="326" spans="1:7" x14ac:dyDescent="0.25">
      <c r="A326" s="2">
        <v>325</v>
      </c>
      <c r="B326" s="3">
        <v>9274</v>
      </c>
      <c r="C326" s="5" t="s">
        <v>2861</v>
      </c>
      <c r="D326" s="5" t="s">
        <v>113</v>
      </c>
      <c r="E326" s="5" t="s">
        <v>87</v>
      </c>
      <c r="F326" s="3" t="s">
        <v>2862</v>
      </c>
      <c r="G326" s="3" t="str">
        <f>"00986058"</f>
        <v>00986058</v>
      </c>
    </row>
    <row r="327" spans="1:7" x14ac:dyDescent="0.25">
      <c r="A327" s="2">
        <v>326</v>
      </c>
      <c r="B327" s="3">
        <v>715</v>
      </c>
      <c r="C327" s="5" t="s">
        <v>668</v>
      </c>
      <c r="D327" s="5" t="s">
        <v>667</v>
      </c>
      <c r="E327" s="5" t="s">
        <v>41</v>
      </c>
      <c r="F327" s="3" t="s">
        <v>669</v>
      </c>
      <c r="G327" s="3" t="str">
        <f>"00462394"</f>
        <v>00462394</v>
      </c>
    </row>
    <row r="328" spans="1:7" x14ac:dyDescent="0.25">
      <c r="A328" s="2">
        <v>327</v>
      </c>
      <c r="B328" s="3">
        <v>3516</v>
      </c>
      <c r="C328" s="5" t="s">
        <v>2342</v>
      </c>
      <c r="D328" s="5" t="s">
        <v>2341</v>
      </c>
      <c r="E328" s="5" t="s">
        <v>14</v>
      </c>
      <c r="F328" s="3" t="s">
        <v>2343</v>
      </c>
      <c r="G328" s="3" t="str">
        <f>"00691014"</f>
        <v>00691014</v>
      </c>
    </row>
    <row r="329" spans="1:7" x14ac:dyDescent="0.25">
      <c r="A329" s="2">
        <v>328</v>
      </c>
      <c r="B329" s="3">
        <v>4469</v>
      </c>
      <c r="C329" s="5" t="s">
        <v>4624</v>
      </c>
      <c r="D329" s="5" t="s">
        <v>44</v>
      </c>
      <c r="E329" s="5" t="s">
        <v>32</v>
      </c>
      <c r="F329" s="3" t="s">
        <v>4625</v>
      </c>
      <c r="G329" s="3" t="str">
        <f>"00817856"</f>
        <v>00817856</v>
      </c>
    </row>
    <row r="330" spans="1:7" x14ac:dyDescent="0.25">
      <c r="A330" s="2">
        <v>329</v>
      </c>
      <c r="B330" s="3">
        <v>11672</v>
      </c>
      <c r="C330" s="5" t="s">
        <v>2330</v>
      </c>
      <c r="D330" s="5" t="s">
        <v>135</v>
      </c>
      <c r="E330" s="5" t="s">
        <v>52</v>
      </c>
      <c r="F330" s="3" t="s">
        <v>2331</v>
      </c>
      <c r="G330" s="3" t="str">
        <f>"00769678"</f>
        <v>00769678</v>
      </c>
    </row>
    <row r="331" spans="1:7" x14ac:dyDescent="0.25">
      <c r="A331" s="2">
        <v>330</v>
      </c>
      <c r="B331" s="3">
        <v>11021</v>
      </c>
      <c r="C331" s="5" t="s">
        <v>1142</v>
      </c>
      <c r="D331" s="5" t="s">
        <v>284</v>
      </c>
      <c r="E331" s="5" t="s">
        <v>94</v>
      </c>
      <c r="F331" s="3" t="s">
        <v>1143</v>
      </c>
      <c r="G331" s="3" t="str">
        <f>"00142628"</f>
        <v>00142628</v>
      </c>
    </row>
    <row r="332" spans="1:7" x14ac:dyDescent="0.25">
      <c r="A332" s="2">
        <v>331</v>
      </c>
      <c r="B332" s="3">
        <v>5554</v>
      </c>
      <c r="C332" s="5" t="s">
        <v>4581</v>
      </c>
      <c r="D332" s="5" t="s">
        <v>416</v>
      </c>
      <c r="E332" s="5" t="s">
        <v>667</v>
      </c>
      <c r="F332" s="3" t="s">
        <v>4582</v>
      </c>
      <c r="G332" s="3" t="str">
        <f>"00080948"</f>
        <v>00080948</v>
      </c>
    </row>
    <row r="333" spans="1:7" x14ac:dyDescent="0.25">
      <c r="A333" s="2">
        <v>332</v>
      </c>
      <c r="B333" s="3">
        <v>777</v>
      </c>
      <c r="C333" s="5" t="s">
        <v>1437</v>
      </c>
      <c r="D333" s="5" t="s">
        <v>14</v>
      </c>
      <c r="E333" s="5" t="s">
        <v>284</v>
      </c>
      <c r="F333" s="3" t="s">
        <v>1438</v>
      </c>
      <c r="G333" s="3" t="str">
        <f>"01014830"</f>
        <v>01014830</v>
      </c>
    </row>
    <row r="334" spans="1:7" x14ac:dyDescent="0.25">
      <c r="A334" s="2">
        <v>333</v>
      </c>
      <c r="B334" s="3">
        <v>8985</v>
      </c>
      <c r="C334" s="5" t="s">
        <v>969</v>
      </c>
      <c r="D334" s="5" t="s">
        <v>207</v>
      </c>
      <c r="E334" s="5" t="s">
        <v>481</v>
      </c>
      <c r="F334" s="3" t="s">
        <v>970</v>
      </c>
      <c r="G334" s="3" t="str">
        <f>"00246431"</f>
        <v>00246431</v>
      </c>
    </row>
    <row r="335" spans="1:7" x14ac:dyDescent="0.25">
      <c r="A335" s="2">
        <v>334</v>
      </c>
      <c r="B335" s="3">
        <v>4544</v>
      </c>
      <c r="C335" s="5" t="s">
        <v>969</v>
      </c>
      <c r="D335" s="5" t="s">
        <v>87</v>
      </c>
      <c r="E335" s="5" t="s">
        <v>14</v>
      </c>
      <c r="F335" s="3" t="s">
        <v>1894</v>
      </c>
      <c r="G335" s="3" t="str">
        <f>"00752362"</f>
        <v>00752362</v>
      </c>
    </row>
    <row r="336" spans="1:7" x14ac:dyDescent="0.25">
      <c r="A336" s="2">
        <v>335</v>
      </c>
      <c r="B336" s="3">
        <v>7149</v>
      </c>
      <c r="C336" s="5" t="s">
        <v>969</v>
      </c>
      <c r="D336" s="5" t="s">
        <v>11</v>
      </c>
      <c r="E336" s="5" t="s">
        <v>52</v>
      </c>
      <c r="F336" s="3" t="s">
        <v>2392</v>
      </c>
      <c r="G336" s="3" t="str">
        <f>"00450509"</f>
        <v>00450509</v>
      </c>
    </row>
    <row r="337" spans="1:7" x14ac:dyDescent="0.25">
      <c r="A337" s="2">
        <v>336</v>
      </c>
      <c r="B337" s="3">
        <v>8675</v>
      </c>
      <c r="C337" s="5" t="s">
        <v>3813</v>
      </c>
      <c r="D337" s="5" t="s">
        <v>3812</v>
      </c>
      <c r="E337" s="5" t="s">
        <v>5</v>
      </c>
      <c r="F337" s="3" t="s">
        <v>3814</v>
      </c>
      <c r="G337" s="3" t="str">
        <f>"01013315"</f>
        <v>01013315</v>
      </c>
    </row>
    <row r="338" spans="1:7" x14ac:dyDescent="0.25">
      <c r="A338" s="2">
        <v>337</v>
      </c>
      <c r="B338" s="3">
        <v>2189</v>
      </c>
      <c r="C338" s="5" t="s">
        <v>510</v>
      </c>
      <c r="D338" s="5" t="s">
        <v>94</v>
      </c>
      <c r="E338" s="5" t="s">
        <v>52</v>
      </c>
      <c r="F338" s="3" t="s">
        <v>511</v>
      </c>
      <c r="G338" s="3" t="str">
        <f>"00984348"</f>
        <v>00984348</v>
      </c>
    </row>
    <row r="339" spans="1:7" x14ac:dyDescent="0.25">
      <c r="A339" s="2">
        <v>338</v>
      </c>
      <c r="B339" s="3">
        <v>4933</v>
      </c>
      <c r="C339" s="5" t="s">
        <v>510</v>
      </c>
      <c r="D339" s="5" t="s">
        <v>1016</v>
      </c>
      <c r="E339" s="5" t="s">
        <v>11</v>
      </c>
      <c r="F339" s="3" t="s">
        <v>1258</v>
      </c>
      <c r="G339" s="3" t="str">
        <f>"201507004102"</f>
        <v>201507004102</v>
      </c>
    </row>
    <row r="340" spans="1:7" x14ac:dyDescent="0.25">
      <c r="A340" s="2">
        <v>339</v>
      </c>
      <c r="B340" s="3">
        <v>12551</v>
      </c>
      <c r="C340" s="5" t="s">
        <v>4366</v>
      </c>
      <c r="D340" s="5" t="s">
        <v>622</v>
      </c>
      <c r="E340" s="5" t="s">
        <v>32</v>
      </c>
      <c r="F340" s="3" t="s">
        <v>4367</v>
      </c>
      <c r="G340" s="3" t="str">
        <f>"01013631"</f>
        <v>01013631</v>
      </c>
    </row>
    <row r="341" spans="1:7" x14ac:dyDescent="0.25">
      <c r="A341" s="2">
        <v>340</v>
      </c>
      <c r="B341" s="3">
        <v>2988</v>
      </c>
      <c r="C341" s="5" t="s">
        <v>212</v>
      </c>
      <c r="D341" s="5" t="s">
        <v>126</v>
      </c>
      <c r="E341" s="5" t="s">
        <v>32</v>
      </c>
      <c r="F341" s="3" t="s">
        <v>213</v>
      </c>
      <c r="G341" s="3" t="str">
        <f>"00981189"</f>
        <v>00981189</v>
      </c>
    </row>
    <row r="342" spans="1:7" x14ac:dyDescent="0.25">
      <c r="A342" s="2">
        <v>341</v>
      </c>
      <c r="B342" s="3">
        <v>3827</v>
      </c>
      <c r="C342" s="5" t="s">
        <v>4764</v>
      </c>
      <c r="D342" s="5" t="s">
        <v>539</v>
      </c>
      <c r="E342" s="5" t="s">
        <v>252</v>
      </c>
      <c r="F342" s="3" t="s">
        <v>4765</v>
      </c>
      <c r="G342" s="3" t="str">
        <f>"00009244"</f>
        <v>00009244</v>
      </c>
    </row>
    <row r="343" spans="1:7" x14ac:dyDescent="0.25">
      <c r="A343" s="2">
        <v>342</v>
      </c>
      <c r="B343" s="3">
        <v>9376</v>
      </c>
      <c r="C343" s="5" t="s">
        <v>4250</v>
      </c>
      <c r="D343" s="5" t="s">
        <v>4249</v>
      </c>
      <c r="E343" s="5" t="s">
        <v>70</v>
      </c>
      <c r="F343" s="3" t="s">
        <v>4251</v>
      </c>
      <c r="G343" s="3" t="str">
        <f>"00981985"</f>
        <v>00981985</v>
      </c>
    </row>
    <row r="344" spans="1:7" x14ac:dyDescent="0.25">
      <c r="A344" s="2">
        <v>343</v>
      </c>
      <c r="B344" s="3">
        <v>5469</v>
      </c>
      <c r="C344" s="5" t="s">
        <v>399</v>
      </c>
      <c r="D344" s="5" t="s">
        <v>398</v>
      </c>
      <c r="E344" s="5" t="s">
        <v>752</v>
      </c>
      <c r="F344" s="3" t="s">
        <v>400</v>
      </c>
      <c r="G344" s="3" t="str">
        <f>"00952592"</f>
        <v>00952592</v>
      </c>
    </row>
    <row r="345" spans="1:7" x14ac:dyDescent="0.25">
      <c r="A345" s="2">
        <v>344</v>
      </c>
      <c r="B345" s="3">
        <v>7706</v>
      </c>
      <c r="C345" s="5" t="s">
        <v>967</v>
      </c>
      <c r="D345" s="5" t="s">
        <v>159</v>
      </c>
      <c r="E345" s="5" t="s">
        <v>87</v>
      </c>
      <c r="F345" s="3" t="s">
        <v>968</v>
      </c>
      <c r="G345" s="3" t="str">
        <f>"00837673"</f>
        <v>00837673</v>
      </c>
    </row>
    <row r="346" spans="1:7" x14ac:dyDescent="0.25">
      <c r="A346" s="2">
        <v>345</v>
      </c>
      <c r="B346" s="3">
        <v>4504</v>
      </c>
      <c r="C346" s="5" t="s">
        <v>3673</v>
      </c>
      <c r="D346" s="5" t="s">
        <v>935</v>
      </c>
      <c r="E346" s="5" t="s">
        <v>532</v>
      </c>
      <c r="F346" s="3" t="s">
        <v>3674</v>
      </c>
      <c r="G346" s="3" t="str">
        <f>"00664634"</f>
        <v>00664634</v>
      </c>
    </row>
    <row r="347" spans="1:7" x14ac:dyDescent="0.25">
      <c r="A347" s="2">
        <v>346</v>
      </c>
      <c r="B347" s="3">
        <v>361</v>
      </c>
      <c r="C347" s="5" t="s">
        <v>2269</v>
      </c>
      <c r="D347" s="5" t="s">
        <v>2268</v>
      </c>
      <c r="E347" s="5" t="s">
        <v>44</v>
      </c>
      <c r="F347" s="3" t="s">
        <v>2270</v>
      </c>
      <c r="G347" s="3" t="str">
        <f>"00985102"</f>
        <v>00985102</v>
      </c>
    </row>
    <row r="348" spans="1:7" x14ac:dyDescent="0.25">
      <c r="A348" s="2">
        <v>347</v>
      </c>
      <c r="B348" s="3">
        <v>10672</v>
      </c>
      <c r="C348" s="5" t="s">
        <v>565</v>
      </c>
      <c r="D348" s="5" t="s">
        <v>564</v>
      </c>
      <c r="E348" s="5" t="s">
        <v>52</v>
      </c>
      <c r="F348" s="3" t="s">
        <v>566</v>
      </c>
      <c r="G348" s="3" t="str">
        <f>"00447560"</f>
        <v>00447560</v>
      </c>
    </row>
    <row r="349" spans="1:7" x14ac:dyDescent="0.25">
      <c r="A349" s="2">
        <v>348</v>
      </c>
      <c r="B349" s="3">
        <v>362</v>
      </c>
      <c r="C349" s="5" t="s">
        <v>3322</v>
      </c>
      <c r="D349" s="5" t="s">
        <v>87</v>
      </c>
      <c r="E349" s="5" t="s">
        <v>14</v>
      </c>
      <c r="F349" s="3" t="s">
        <v>3323</v>
      </c>
      <c r="G349" s="3" t="str">
        <f>"00984596"</f>
        <v>00984596</v>
      </c>
    </row>
    <row r="350" spans="1:7" x14ac:dyDescent="0.25">
      <c r="A350" s="2">
        <v>349</v>
      </c>
      <c r="B350" s="3">
        <v>9688</v>
      </c>
      <c r="C350" s="5" t="s">
        <v>3941</v>
      </c>
      <c r="D350" s="5" t="s">
        <v>87</v>
      </c>
      <c r="E350" s="5" t="s">
        <v>32</v>
      </c>
      <c r="F350" s="3" t="s">
        <v>3942</v>
      </c>
      <c r="G350" s="3" t="str">
        <f>"00903241"</f>
        <v>00903241</v>
      </c>
    </row>
    <row r="351" spans="1:7" x14ac:dyDescent="0.25">
      <c r="A351" s="2">
        <v>350</v>
      </c>
      <c r="B351" s="3">
        <v>8414</v>
      </c>
      <c r="C351" s="5" t="s">
        <v>47</v>
      </c>
      <c r="D351" s="5" t="s">
        <v>14</v>
      </c>
      <c r="E351" s="5" t="s">
        <v>52</v>
      </c>
      <c r="F351" s="3" t="s">
        <v>48</v>
      </c>
      <c r="G351" s="3" t="str">
        <f>"00248578"</f>
        <v>00248578</v>
      </c>
    </row>
    <row r="352" spans="1:7" x14ac:dyDescent="0.25">
      <c r="A352" s="2">
        <v>351</v>
      </c>
      <c r="B352" s="3">
        <v>624</v>
      </c>
      <c r="C352" s="5" t="s">
        <v>4041</v>
      </c>
      <c r="D352" s="5" t="s">
        <v>129</v>
      </c>
      <c r="E352" s="5" t="s">
        <v>44</v>
      </c>
      <c r="F352" s="3" t="s">
        <v>4042</v>
      </c>
      <c r="G352" s="3" t="str">
        <f>"00999274"</f>
        <v>00999274</v>
      </c>
    </row>
    <row r="353" spans="1:7" x14ac:dyDescent="0.25">
      <c r="A353" s="2">
        <v>352</v>
      </c>
      <c r="B353" s="3">
        <v>12506</v>
      </c>
      <c r="C353" s="5" t="s">
        <v>2555</v>
      </c>
      <c r="D353" s="5" t="s">
        <v>635</v>
      </c>
      <c r="E353" s="5" t="s">
        <v>667</v>
      </c>
      <c r="F353" s="3" t="s">
        <v>2556</v>
      </c>
      <c r="G353" s="3" t="str">
        <f>"201601001238"</f>
        <v>201601001238</v>
      </c>
    </row>
    <row r="354" spans="1:7" x14ac:dyDescent="0.25">
      <c r="A354" s="2">
        <v>353</v>
      </c>
      <c r="B354" s="3">
        <v>5939</v>
      </c>
      <c r="C354" s="5" t="s">
        <v>4381</v>
      </c>
      <c r="D354" s="5" t="s">
        <v>1432</v>
      </c>
      <c r="E354" s="5" t="s">
        <v>94</v>
      </c>
      <c r="F354" s="3" t="s">
        <v>4382</v>
      </c>
      <c r="G354" s="3" t="str">
        <f>"201506004219"</f>
        <v>201506004219</v>
      </c>
    </row>
    <row r="355" spans="1:7" x14ac:dyDescent="0.25">
      <c r="A355" s="2">
        <v>354</v>
      </c>
      <c r="B355" s="3">
        <v>1238</v>
      </c>
      <c r="C355" s="5" t="s">
        <v>3294</v>
      </c>
      <c r="D355" s="5" t="s">
        <v>14</v>
      </c>
      <c r="E355" s="5" t="s">
        <v>87</v>
      </c>
      <c r="F355" s="3" t="s">
        <v>3295</v>
      </c>
      <c r="G355" s="3" t="str">
        <f>"00981866"</f>
        <v>00981866</v>
      </c>
    </row>
    <row r="356" spans="1:7" x14ac:dyDescent="0.25">
      <c r="A356" s="2">
        <v>355</v>
      </c>
      <c r="B356" s="3">
        <v>6513</v>
      </c>
      <c r="C356" s="5" t="s">
        <v>3294</v>
      </c>
      <c r="D356" s="5" t="s">
        <v>11</v>
      </c>
      <c r="E356" s="5" t="s">
        <v>5</v>
      </c>
      <c r="F356" s="3" t="s">
        <v>3934</v>
      </c>
      <c r="G356" s="3" t="str">
        <f>"01015782"</f>
        <v>01015782</v>
      </c>
    </row>
    <row r="357" spans="1:7" x14ac:dyDescent="0.25">
      <c r="A357" s="2">
        <v>356</v>
      </c>
      <c r="B357" s="3">
        <v>12408</v>
      </c>
      <c r="C357" s="5" t="s">
        <v>4593</v>
      </c>
      <c r="D357" s="5" t="s">
        <v>284</v>
      </c>
      <c r="E357" s="5" t="s">
        <v>4917</v>
      </c>
      <c r="F357" s="3" t="s">
        <v>4594</v>
      </c>
      <c r="G357" s="3" t="str">
        <f>"00990326"</f>
        <v>00990326</v>
      </c>
    </row>
    <row r="358" spans="1:7" x14ac:dyDescent="0.25">
      <c r="A358" s="2">
        <v>357</v>
      </c>
      <c r="B358" s="3">
        <v>4091</v>
      </c>
      <c r="C358" s="5" t="s">
        <v>1252</v>
      </c>
      <c r="D358" s="5" t="s">
        <v>126</v>
      </c>
      <c r="E358" s="5" t="s">
        <v>5</v>
      </c>
      <c r="F358" s="3" t="s">
        <v>1253</v>
      </c>
      <c r="G358" s="3" t="str">
        <f>"201406018867"</f>
        <v>201406018867</v>
      </c>
    </row>
    <row r="359" spans="1:7" x14ac:dyDescent="0.25">
      <c r="A359" s="2">
        <v>358</v>
      </c>
      <c r="B359" s="3">
        <v>10155</v>
      </c>
      <c r="C359" s="5" t="s">
        <v>3503</v>
      </c>
      <c r="D359" s="5" t="s">
        <v>3502</v>
      </c>
      <c r="E359" s="5" t="s">
        <v>44</v>
      </c>
      <c r="F359" s="3" t="s">
        <v>3504</v>
      </c>
      <c r="G359" s="3" t="str">
        <f>"00339539"</f>
        <v>00339539</v>
      </c>
    </row>
    <row r="360" spans="1:7" x14ac:dyDescent="0.25">
      <c r="A360" s="2">
        <v>359</v>
      </c>
      <c r="B360" s="3">
        <v>1324</v>
      </c>
      <c r="C360" s="5" t="s">
        <v>1441</v>
      </c>
      <c r="D360" s="5" t="s">
        <v>87</v>
      </c>
      <c r="E360" s="5" t="s">
        <v>609</v>
      </c>
      <c r="F360" s="3" t="s">
        <v>1442</v>
      </c>
      <c r="G360" s="3" t="str">
        <f>"201510000526"</f>
        <v>201510000526</v>
      </c>
    </row>
    <row r="361" spans="1:7" x14ac:dyDescent="0.25">
      <c r="A361" s="2">
        <v>360</v>
      </c>
      <c r="B361" s="3">
        <v>972</v>
      </c>
      <c r="C361" s="5" t="s">
        <v>4535</v>
      </c>
      <c r="D361" s="5" t="s">
        <v>1639</v>
      </c>
      <c r="E361" s="5" t="s">
        <v>94</v>
      </c>
      <c r="F361" s="3" t="s">
        <v>4536</v>
      </c>
      <c r="G361" s="3" t="str">
        <f>"00999415"</f>
        <v>00999415</v>
      </c>
    </row>
    <row r="362" spans="1:7" x14ac:dyDescent="0.25">
      <c r="A362" s="2">
        <v>361</v>
      </c>
      <c r="B362" s="3">
        <v>6987</v>
      </c>
      <c r="C362" s="5" t="s">
        <v>3584</v>
      </c>
      <c r="D362" s="5" t="s">
        <v>3583</v>
      </c>
      <c r="E362" s="5" t="s">
        <v>32</v>
      </c>
      <c r="F362" s="3">
        <v>2015255</v>
      </c>
      <c r="G362" s="3" t="str">
        <f>"01013807"</f>
        <v>01013807</v>
      </c>
    </row>
    <row r="363" spans="1:7" x14ac:dyDescent="0.25">
      <c r="A363" s="2">
        <v>362</v>
      </c>
      <c r="B363" s="3">
        <v>3024</v>
      </c>
      <c r="C363" s="5" t="s">
        <v>1565</v>
      </c>
      <c r="D363" s="5" t="s">
        <v>91</v>
      </c>
      <c r="E363" s="5" t="s">
        <v>284</v>
      </c>
      <c r="F363" s="3" t="s">
        <v>1566</v>
      </c>
      <c r="G363" s="3" t="str">
        <f>"00657863"</f>
        <v>00657863</v>
      </c>
    </row>
    <row r="364" spans="1:7" x14ac:dyDescent="0.25">
      <c r="A364" s="2">
        <v>363</v>
      </c>
      <c r="B364" s="3">
        <v>11980</v>
      </c>
      <c r="C364" s="5" t="s">
        <v>567</v>
      </c>
      <c r="D364" s="5" t="s">
        <v>935</v>
      </c>
      <c r="E364" s="5" t="s">
        <v>11</v>
      </c>
      <c r="F364" s="3" t="s">
        <v>4254</v>
      </c>
      <c r="G364" s="3" t="str">
        <f>"00816006"</f>
        <v>00816006</v>
      </c>
    </row>
    <row r="365" spans="1:7" x14ac:dyDescent="0.25">
      <c r="A365" s="2">
        <v>364</v>
      </c>
      <c r="B365" s="3">
        <v>11101</v>
      </c>
      <c r="C365" s="5" t="s">
        <v>567</v>
      </c>
      <c r="D365" s="5" t="s">
        <v>162</v>
      </c>
      <c r="E365" s="5" t="s">
        <v>102</v>
      </c>
      <c r="F365" s="3" t="s">
        <v>568</v>
      </c>
      <c r="G365" s="3" t="str">
        <f>"201406002896"</f>
        <v>201406002896</v>
      </c>
    </row>
    <row r="366" spans="1:7" x14ac:dyDescent="0.25">
      <c r="A366" s="2">
        <v>365</v>
      </c>
      <c r="B366" s="3">
        <v>11734</v>
      </c>
      <c r="C366" s="5" t="s">
        <v>567</v>
      </c>
      <c r="D366" s="5" t="s">
        <v>126</v>
      </c>
      <c r="E366" s="5" t="s">
        <v>94</v>
      </c>
      <c r="F366" s="3" t="s">
        <v>3701</v>
      </c>
      <c r="G366" s="3" t="str">
        <f>"00185359"</f>
        <v>00185359</v>
      </c>
    </row>
    <row r="367" spans="1:7" x14ac:dyDescent="0.25">
      <c r="A367" s="2">
        <v>366</v>
      </c>
      <c r="B367" s="3">
        <v>9211</v>
      </c>
      <c r="C367" s="5" t="s">
        <v>2474</v>
      </c>
      <c r="D367" s="5" t="s">
        <v>416</v>
      </c>
      <c r="E367" s="5" t="s">
        <v>479</v>
      </c>
      <c r="F367" s="3" t="s">
        <v>2475</v>
      </c>
      <c r="G367" s="3" t="str">
        <f>"00833160"</f>
        <v>00833160</v>
      </c>
    </row>
    <row r="368" spans="1:7" x14ac:dyDescent="0.25">
      <c r="A368" s="2">
        <v>367</v>
      </c>
      <c r="B368" s="3">
        <v>4732</v>
      </c>
      <c r="C368" s="5" t="s">
        <v>3699</v>
      </c>
      <c r="D368" s="5" t="s">
        <v>366</v>
      </c>
      <c r="E368" s="5" t="s">
        <v>4887</v>
      </c>
      <c r="F368" s="3" t="s">
        <v>3700</v>
      </c>
      <c r="G368" s="3" t="str">
        <f>"00293179"</f>
        <v>00293179</v>
      </c>
    </row>
    <row r="369" spans="1:7" x14ac:dyDescent="0.25">
      <c r="A369" s="2">
        <v>368</v>
      </c>
      <c r="B369" s="3">
        <v>10148</v>
      </c>
      <c r="C369" s="5" t="s">
        <v>3699</v>
      </c>
      <c r="D369" s="5" t="s">
        <v>4362</v>
      </c>
      <c r="E369" s="5" t="s">
        <v>4887</v>
      </c>
      <c r="F369" s="3" t="s">
        <v>4363</v>
      </c>
      <c r="G369" s="3" t="str">
        <f>"00216070"</f>
        <v>00216070</v>
      </c>
    </row>
    <row r="370" spans="1:7" x14ac:dyDescent="0.25">
      <c r="A370" s="2">
        <v>369</v>
      </c>
      <c r="B370" s="3">
        <v>2776</v>
      </c>
      <c r="C370" s="5" t="s">
        <v>4762</v>
      </c>
      <c r="D370" s="5" t="s">
        <v>87</v>
      </c>
      <c r="E370" s="5" t="s">
        <v>14</v>
      </c>
      <c r="F370" s="3" t="s">
        <v>4763</v>
      </c>
      <c r="G370" s="3" t="str">
        <f>"00727757"</f>
        <v>00727757</v>
      </c>
    </row>
    <row r="371" spans="1:7" x14ac:dyDescent="0.25">
      <c r="A371" s="2">
        <v>370</v>
      </c>
      <c r="B371" s="3">
        <v>7077</v>
      </c>
      <c r="C371" s="5" t="s">
        <v>1570</v>
      </c>
      <c r="D371" s="5" t="s">
        <v>1569</v>
      </c>
      <c r="E371" s="5" t="s">
        <v>4826</v>
      </c>
      <c r="F371" s="3" t="s">
        <v>1571</v>
      </c>
      <c r="G371" s="3" t="str">
        <f>"00655741"</f>
        <v>00655741</v>
      </c>
    </row>
    <row r="372" spans="1:7" x14ac:dyDescent="0.25">
      <c r="A372" s="2">
        <v>371</v>
      </c>
      <c r="B372" s="3">
        <v>12738</v>
      </c>
      <c r="C372" s="5" t="s">
        <v>2458</v>
      </c>
      <c r="D372" s="5" t="s">
        <v>214</v>
      </c>
      <c r="E372" s="5" t="s">
        <v>284</v>
      </c>
      <c r="F372" s="3" t="s">
        <v>2459</v>
      </c>
      <c r="G372" s="3" t="str">
        <f>"01016200"</f>
        <v>01016200</v>
      </c>
    </row>
    <row r="373" spans="1:7" x14ac:dyDescent="0.25">
      <c r="A373" s="2">
        <v>372</v>
      </c>
      <c r="B373" s="3">
        <v>8390</v>
      </c>
      <c r="C373" s="5" t="s">
        <v>4435</v>
      </c>
      <c r="D373" s="5" t="s">
        <v>4434</v>
      </c>
      <c r="E373" s="5" t="s">
        <v>44</v>
      </c>
      <c r="F373" s="3" t="s">
        <v>4436</v>
      </c>
      <c r="G373" s="3" t="str">
        <f>"00974325"</f>
        <v>00974325</v>
      </c>
    </row>
    <row r="374" spans="1:7" x14ac:dyDescent="0.25">
      <c r="A374" s="2">
        <v>373</v>
      </c>
      <c r="B374" s="3">
        <v>12484</v>
      </c>
      <c r="C374" s="5" t="s">
        <v>4747</v>
      </c>
      <c r="D374" s="5" t="s">
        <v>167</v>
      </c>
      <c r="E374" s="5" t="s">
        <v>4921</v>
      </c>
      <c r="F374" s="3" t="s">
        <v>4748</v>
      </c>
      <c r="G374" s="3" t="str">
        <f>"00977132"</f>
        <v>00977132</v>
      </c>
    </row>
    <row r="375" spans="1:7" x14ac:dyDescent="0.25">
      <c r="A375" s="2">
        <v>374</v>
      </c>
      <c r="B375" s="3">
        <v>3494</v>
      </c>
      <c r="C375" s="5" t="s">
        <v>3138</v>
      </c>
      <c r="D375" s="5" t="s">
        <v>159</v>
      </c>
      <c r="E375" s="5" t="s">
        <v>52</v>
      </c>
      <c r="F375" s="3" t="s">
        <v>3139</v>
      </c>
      <c r="G375" s="3" t="str">
        <f>"00903735"</f>
        <v>00903735</v>
      </c>
    </row>
    <row r="376" spans="1:7" x14ac:dyDescent="0.25">
      <c r="A376" s="2">
        <v>375</v>
      </c>
      <c r="B376" s="3">
        <v>847</v>
      </c>
      <c r="C376" s="5" t="s">
        <v>640</v>
      </c>
      <c r="D376" s="5" t="s">
        <v>358</v>
      </c>
      <c r="E376" s="5" t="s">
        <v>14</v>
      </c>
      <c r="F376" s="3">
        <v>32217</v>
      </c>
      <c r="G376" s="3" t="str">
        <f>"01014205"</f>
        <v>01014205</v>
      </c>
    </row>
    <row r="377" spans="1:7" x14ac:dyDescent="0.25">
      <c r="A377" s="2">
        <v>376</v>
      </c>
      <c r="B377" s="3">
        <v>3297</v>
      </c>
      <c r="C377" s="5" t="s">
        <v>2440</v>
      </c>
      <c r="D377" s="5" t="s">
        <v>2020</v>
      </c>
      <c r="E377" s="5" t="s">
        <v>52</v>
      </c>
      <c r="F377" s="3" t="s">
        <v>2441</v>
      </c>
      <c r="G377" s="3" t="str">
        <f>"00195766"</f>
        <v>00195766</v>
      </c>
    </row>
    <row r="378" spans="1:7" x14ac:dyDescent="0.25">
      <c r="A378" s="2">
        <v>377</v>
      </c>
      <c r="B378" s="3">
        <v>2728</v>
      </c>
      <c r="C378" s="5" t="s">
        <v>392</v>
      </c>
      <c r="D378" s="5" t="s">
        <v>135</v>
      </c>
      <c r="E378" s="5" t="s">
        <v>44</v>
      </c>
      <c r="F378" s="3" t="s">
        <v>393</v>
      </c>
      <c r="G378" s="3" t="str">
        <f>"00265320"</f>
        <v>00265320</v>
      </c>
    </row>
    <row r="379" spans="1:7" x14ac:dyDescent="0.25">
      <c r="A379" s="2">
        <v>378</v>
      </c>
      <c r="B379" s="3">
        <v>10410</v>
      </c>
      <c r="C379" s="5" t="s">
        <v>3430</v>
      </c>
      <c r="D379" s="5" t="s">
        <v>44</v>
      </c>
      <c r="E379" s="5" t="s">
        <v>252</v>
      </c>
      <c r="F379" s="3" t="s">
        <v>3431</v>
      </c>
      <c r="G379" s="3" t="str">
        <f>"00817954"</f>
        <v>00817954</v>
      </c>
    </row>
    <row r="380" spans="1:7" x14ac:dyDescent="0.25">
      <c r="A380" s="2">
        <v>379</v>
      </c>
      <c r="B380" s="3">
        <v>10462</v>
      </c>
      <c r="C380" s="5" t="s">
        <v>1708</v>
      </c>
      <c r="D380" s="5" t="s">
        <v>162</v>
      </c>
      <c r="E380" s="5" t="s">
        <v>52</v>
      </c>
      <c r="F380" s="3" t="s">
        <v>1709</v>
      </c>
      <c r="G380" s="3" t="str">
        <f>"00969890"</f>
        <v>00969890</v>
      </c>
    </row>
    <row r="381" spans="1:7" x14ac:dyDescent="0.25">
      <c r="A381" s="2">
        <v>380</v>
      </c>
      <c r="B381" s="3">
        <v>10709</v>
      </c>
      <c r="C381" s="5" t="s">
        <v>3287</v>
      </c>
      <c r="D381" s="5" t="s">
        <v>32</v>
      </c>
      <c r="E381" s="5" t="s">
        <v>214</v>
      </c>
      <c r="F381" s="3" t="s">
        <v>3288</v>
      </c>
      <c r="G381" s="3" t="str">
        <f>"00985412"</f>
        <v>00985412</v>
      </c>
    </row>
    <row r="382" spans="1:7" x14ac:dyDescent="0.25">
      <c r="A382" s="2">
        <v>381</v>
      </c>
      <c r="B382" s="3">
        <v>9084</v>
      </c>
      <c r="C382" s="5" t="s">
        <v>3549</v>
      </c>
      <c r="D382" s="5" t="s">
        <v>1432</v>
      </c>
      <c r="E382" s="5" t="s">
        <v>14</v>
      </c>
      <c r="F382" s="3" t="s">
        <v>3550</v>
      </c>
      <c r="G382" s="3" t="str">
        <f>"00141060"</f>
        <v>00141060</v>
      </c>
    </row>
    <row r="383" spans="1:7" x14ac:dyDescent="0.25">
      <c r="A383" s="2">
        <v>382</v>
      </c>
      <c r="B383" s="3">
        <v>8203</v>
      </c>
      <c r="C383" s="5" t="s">
        <v>434</v>
      </c>
      <c r="D383" s="5" t="s">
        <v>207</v>
      </c>
      <c r="E383" s="5" t="s">
        <v>52</v>
      </c>
      <c r="F383" s="3" t="s">
        <v>435</v>
      </c>
      <c r="G383" s="3" t="str">
        <f>"00987029"</f>
        <v>00987029</v>
      </c>
    </row>
    <row r="384" spans="1:7" x14ac:dyDescent="0.25">
      <c r="A384" s="2">
        <v>383</v>
      </c>
      <c r="B384" s="3">
        <v>3100</v>
      </c>
      <c r="C384" s="5" t="s">
        <v>819</v>
      </c>
      <c r="D384" s="5" t="s">
        <v>667</v>
      </c>
      <c r="E384" s="5" t="s">
        <v>32</v>
      </c>
      <c r="F384" s="3" t="s">
        <v>820</v>
      </c>
      <c r="G384" s="3" t="str">
        <f>"01011490"</f>
        <v>01011490</v>
      </c>
    </row>
    <row r="385" spans="1:7" x14ac:dyDescent="0.25">
      <c r="A385" s="2">
        <v>384</v>
      </c>
      <c r="B385" s="3">
        <v>4550</v>
      </c>
      <c r="C385" s="5" t="s">
        <v>3484</v>
      </c>
      <c r="D385" s="5" t="s">
        <v>604</v>
      </c>
      <c r="E385" s="5" t="s">
        <v>4882</v>
      </c>
      <c r="F385" s="3" t="s">
        <v>3485</v>
      </c>
      <c r="G385" s="3" t="str">
        <f>"00442409"</f>
        <v>00442409</v>
      </c>
    </row>
    <row r="386" spans="1:7" x14ac:dyDescent="0.25">
      <c r="A386" s="2">
        <v>385</v>
      </c>
      <c r="B386" s="3">
        <v>11116</v>
      </c>
      <c r="C386" s="5" t="s">
        <v>4632</v>
      </c>
      <c r="D386" s="5" t="s">
        <v>366</v>
      </c>
      <c r="E386" s="5" t="s">
        <v>11</v>
      </c>
      <c r="F386" s="3" t="s">
        <v>4633</v>
      </c>
      <c r="G386" s="3" t="str">
        <f>"01013017"</f>
        <v>01013017</v>
      </c>
    </row>
    <row r="387" spans="1:7" x14ac:dyDescent="0.25">
      <c r="A387" s="2">
        <v>386</v>
      </c>
      <c r="B387" s="3">
        <v>2004</v>
      </c>
      <c r="C387" s="5" t="s">
        <v>3868</v>
      </c>
      <c r="D387" s="5" t="s">
        <v>3867</v>
      </c>
      <c r="E387" s="5" t="s">
        <v>129</v>
      </c>
      <c r="F387" s="3" t="s">
        <v>3869</v>
      </c>
      <c r="G387" s="3" t="str">
        <f>"01015242"</f>
        <v>01015242</v>
      </c>
    </row>
    <row r="388" spans="1:7" x14ac:dyDescent="0.25">
      <c r="A388" s="2">
        <v>387</v>
      </c>
      <c r="B388" s="3">
        <v>3907</v>
      </c>
      <c r="C388" s="5" t="s">
        <v>2682</v>
      </c>
      <c r="D388" s="5" t="s">
        <v>135</v>
      </c>
      <c r="E388" s="5" t="s">
        <v>129</v>
      </c>
      <c r="F388" s="3" t="s">
        <v>2683</v>
      </c>
      <c r="G388" s="3" t="str">
        <f>"00026357"</f>
        <v>00026357</v>
      </c>
    </row>
    <row r="389" spans="1:7" x14ac:dyDescent="0.25">
      <c r="A389" s="2">
        <v>388</v>
      </c>
      <c r="B389" s="3">
        <v>5215</v>
      </c>
      <c r="C389" s="5" t="s">
        <v>2682</v>
      </c>
      <c r="D389" s="5" t="s">
        <v>479</v>
      </c>
      <c r="E389" s="5" t="s">
        <v>129</v>
      </c>
      <c r="F389" s="3" t="s">
        <v>4111</v>
      </c>
      <c r="G389" s="3" t="str">
        <f>"00766226"</f>
        <v>00766226</v>
      </c>
    </row>
    <row r="390" spans="1:7" x14ac:dyDescent="0.25">
      <c r="A390" s="2">
        <v>389</v>
      </c>
      <c r="B390" s="3">
        <v>8381</v>
      </c>
      <c r="C390" s="5" t="s">
        <v>3239</v>
      </c>
      <c r="D390" s="5" t="s">
        <v>118</v>
      </c>
      <c r="E390" s="5" t="s">
        <v>11</v>
      </c>
      <c r="F390" s="3" t="s">
        <v>3240</v>
      </c>
      <c r="G390" s="3" t="str">
        <f>"00189173"</f>
        <v>00189173</v>
      </c>
    </row>
    <row r="391" spans="1:7" x14ac:dyDescent="0.25">
      <c r="A391" s="2">
        <v>390</v>
      </c>
      <c r="B391" s="3">
        <v>12209</v>
      </c>
      <c r="C391" s="5" t="s">
        <v>2941</v>
      </c>
      <c r="D391" s="5" t="s">
        <v>135</v>
      </c>
      <c r="E391" s="5" t="s">
        <v>87</v>
      </c>
      <c r="F391" s="3" t="s">
        <v>4526</v>
      </c>
      <c r="G391" s="3" t="str">
        <f>"01011566"</f>
        <v>01011566</v>
      </c>
    </row>
    <row r="392" spans="1:7" x14ac:dyDescent="0.25">
      <c r="A392" s="2">
        <v>391</v>
      </c>
      <c r="B392" s="3">
        <v>11409</v>
      </c>
      <c r="C392" s="5" t="s">
        <v>2941</v>
      </c>
      <c r="D392" s="5" t="s">
        <v>87</v>
      </c>
      <c r="E392" s="5" t="s">
        <v>44</v>
      </c>
      <c r="F392" s="3" t="s">
        <v>2942</v>
      </c>
      <c r="G392" s="3" t="str">
        <f>"00153735"</f>
        <v>00153735</v>
      </c>
    </row>
    <row r="393" spans="1:7" x14ac:dyDescent="0.25">
      <c r="A393" s="2">
        <v>392</v>
      </c>
      <c r="B393" s="3">
        <v>6550</v>
      </c>
      <c r="C393" s="5" t="s">
        <v>3750</v>
      </c>
      <c r="D393" s="5" t="s">
        <v>3042</v>
      </c>
      <c r="E393" s="5" t="s">
        <v>52</v>
      </c>
      <c r="F393" s="3" t="s">
        <v>3751</v>
      </c>
      <c r="G393" s="3" t="str">
        <f>"00818346"</f>
        <v>00818346</v>
      </c>
    </row>
    <row r="394" spans="1:7" x14ac:dyDescent="0.25">
      <c r="A394" s="2">
        <v>393</v>
      </c>
      <c r="B394" s="3">
        <v>5777</v>
      </c>
      <c r="C394" s="5" t="s">
        <v>701</v>
      </c>
      <c r="D394" s="5" t="s">
        <v>102</v>
      </c>
      <c r="E394" s="5" t="s">
        <v>4803</v>
      </c>
      <c r="F394" s="3" t="s">
        <v>702</v>
      </c>
      <c r="G394" s="3" t="str">
        <f>"00818188"</f>
        <v>00818188</v>
      </c>
    </row>
    <row r="395" spans="1:7" x14ac:dyDescent="0.25">
      <c r="A395" s="2">
        <v>394</v>
      </c>
      <c r="B395" s="3">
        <v>4441</v>
      </c>
      <c r="C395" s="5" t="s">
        <v>105</v>
      </c>
      <c r="D395" s="5" t="s">
        <v>11</v>
      </c>
      <c r="E395" s="5" t="s">
        <v>44</v>
      </c>
      <c r="F395" s="3" t="s">
        <v>106</v>
      </c>
      <c r="G395" s="3" t="str">
        <f>"00319398"</f>
        <v>00319398</v>
      </c>
    </row>
    <row r="396" spans="1:7" x14ac:dyDescent="0.25">
      <c r="A396" s="2">
        <v>395</v>
      </c>
      <c r="B396" s="3">
        <v>7691</v>
      </c>
      <c r="C396" s="5" t="s">
        <v>1159</v>
      </c>
      <c r="D396" s="5" t="s">
        <v>1834</v>
      </c>
      <c r="E396" s="5" t="s">
        <v>14</v>
      </c>
      <c r="F396" s="3" t="s">
        <v>1835</v>
      </c>
      <c r="G396" s="3" t="str">
        <f>"00818510"</f>
        <v>00818510</v>
      </c>
    </row>
    <row r="397" spans="1:7" x14ac:dyDescent="0.25">
      <c r="A397" s="2">
        <v>396</v>
      </c>
      <c r="B397" s="3">
        <v>6377</v>
      </c>
      <c r="C397" s="5" t="s">
        <v>1159</v>
      </c>
      <c r="D397" s="5" t="s">
        <v>66</v>
      </c>
      <c r="E397" s="5" t="s">
        <v>622</v>
      </c>
      <c r="F397" s="3" t="s">
        <v>1160</v>
      </c>
      <c r="G397" s="3" t="str">
        <f>"01012997"</f>
        <v>01012997</v>
      </c>
    </row>
    <row r="398" spans="1:7" x14ac:dyDescent="0.25">
      <c r="A398" s="2">
        <v>397</v>
      </c>
      <c r="B398" s="3">
        <v>4068</v>
      </c>
      <c r="C398" s="5" t="s">
        <v>881</v>
      </c>
      <c r="D398" s="5" t="s">
        <v>416</v>
      </c>
      <c r="E398" s="5" t="s">
        <v>94</v>
      </c>
      <c r="F398" s="3" t="s">
        <v>882</v>
      </c>
      <c r="G398" s="3" t="str">
        <f>"00142826"</f>
        <v>00142826</v>
      </c>
    </row>
    <row r="399" spans="1:7" x14ac:dyDescent="0.25">
      <c r="A399" s="2">
        <v>398</v>
      </c>
      <c r="B399" s="3">
        <v>7074</v>
      </c>
      <c r="C399" s="5" t="s">
        <v>2551</v>
      </c>
      <c r="D399" s="5" t="s">
        <v>2550</v>
      </c>
      <c r="E399" s="5" t="s">
        <v>545</v>
      </c>
      <c r="F399" s="3" t="s">
        <v>2552</v>
      </c>
      <c r="G399" s="3" t="str">
        <f>"201511040562"</f>
        <v>201511040562</v>
      </c>
    </row>
    <row r="400" spans="1:7" x14ac:dyDescent="0.25">
      <c r="A400" s="2">
        <v>399</v>
      </c>
      <c r="B400" s="3">
        <v>2693</v>
      </c>
      <c r="C400" s="5" t="s">
        <v>4105</v>
      </c>
      <c r="D400" s="5" t="s">
        <v>284</v>
      </c>
      <c r="E400" s="5" t="s">
        <v>87</v>
      </c>
      <c r="F400" s="3" t="s">
        <v>4106</v>
      </c>
      <c r="G400" s="3" t="str">
        <f>"00982525"</f>
        <v>00982525</v>
      </c>
    </row>
    <row r="401" spans="1:7" x14ac:dyDescent="0.25">
      <c r="A401" s="2">
        <v>400</v>
      </c>
      <c r="B401" s="3">
        <v>10481</v>
      </c>
      <c r="C401" s="5" t="s">
        <v>2304</v>
      </c>
      <c r="D401" s="5" t="s">
        <v>87</v>
      </c>
      <c r="E401" s="5" t="s">
        <v>44</v>
      </c>
      <c r="F401" s="3" t="s">
        <v>2305</v>
      </c>
      <c r="G401" s="3" t="str">
        <f>"201410007391"</f>
        <v>201410007391</v>
      </c>
    </row>
    <row r="402" spans="1:7" x14ac:dyDescent="0.25">
      <c r="A402" s="2">
        <v>401</v>
      </c>
      <c r="B402" s="3">
        <v>1310</v>
      </c>
      <c r="C402" s="5" t="s">
        <v>1701</v>
      </c>
      <c r="D402" s="5" t="s">
        <v>644</v>
      </c>
      <c r="E402" s="5" t="s">
        <v>207</v>
      </c>
      <c r="F402" s="3" t="s">
        <v>1702</v>
      </c>
      <c r="G402" s="3" t="str">
        <f>"201103000237"</f>
        <v>201103000237</v>
      </c>
    </row>
    <row r="403" spans="1:7" x14ac:dyDescent="0.25">
      <c r="A403" s="2">
        <v>402</v>
      </c>
      <c r="B403" s="3">
        <v>12204</v>
      </c>
      <c r="C403" s="5" t="s">
        <v>1166</v>
      </c>
      <c r="D403" s="5" t="s">
        <v>38</v>
      </c>
      <c r="E403" s="5" t="s">
        <v>4814</v>
      </c>
      <c r="F403" s="3" t="s">
        <v>1167</v>
      </c>
      <c r="G403" s="3" t="str">
        <f>"01015971"</f>
        <v>01015971</v>
      </c>
    </row>
    <row r="404" spans="1:7" x14ac:dyDescent="0.25">
      <c r="A404" s="2">
        <v>403</v>
      </c>
      <c r="B404" s="3">
        <v>5807</v>
      </c>
      <c r="C404" s="5" t="s">
        <v>886</v>
      </c>
      <c r="D404" s="5" t="s">
        <v>885</v>
      </c>
      <c r="E404" s="5" t="s">
        <v>5</v>
      </c>
      <c r="F404" s="3" t="s">
        <v>887</v>
      </c>
      <c r="G404" s="3" t="str">
        <f>"00151118"</f>
        <v>00151118</v>
      </c>
    </row>
    <row r="405" spans="1:7" x14ac:dyDescent="0.25">
      <c r="A405" s="2">
        <v>404</v>
      </c>
      <c r="B405" s="3">
        <v>4306</v>
      </c>
      <c r="C405" s="5" t="s">
        <v>3735</v>
      </c>
      <c r="D405" s="5" t="s">
        <v>622</v>
      </c>
      <c r="E405" s="5" t="s">
        <v>284</v>
      </c>
      <c r="F405" s="3" t="s">
        <v>3736</v>
      </c>
      <c r="G405" s="3" t="str">
        <f>"00447155"</f>
        <v>00447155</v>
      </c>
    </row>
    <row r="406" spans="1:7" x14ac:dyDescent="0.25">
      <c r="A406" s="2">
        <v>405</v>
      </c>
      <c r="B406" s="3">
        <v>5259</v>
      </c>
      <c r="C406" s="5" t="s">
        <v>3486</v>
      </c>
      <c r="D406" s="5" t="s">
        <v>18</v>
      </c>
      <c r="E406" s="5" t="s">
        <v>87</v>
      </c>
      <c r="F406" s="3" t="s">
        <v>3487</v>
      </c>
      <c r="G406" s="3" t="str">
        <f>"00806720"</f>
        <v>00806720</v>
      </c>
    </row>
    <row r="407" spans="1:7" x14ac:dyDescent="0.25">
      <c r="A407" s="2">
        <v>406</v>
      </c>
      <c r="B407" s="3">
        <v>8513</v>
      </c>
      <c r="C407" s="5" t="s">
        <v>3028</v>
      </c>
      <c r="D407" s="5" t="s">
        <v>11</v>
      </c>
      <c r="E407" s="5" t="s">
        <v>52</v>
      </c>
      <c r="F407" s="3" t="s">
        <v>3029</v>
      </c>
      <c r="G407" s="3" t="str">
        <f>"00876563"</f>
        <v>00876563</v>
      </c>
    </row>
    <row r="408" spans="1:7" x14ac:dyDescent="0.25">
      <c r="A408" s="2">
        <v>407</v>
      </c>
      <c r="B408" s="3">
        <v>1504</v>
      </c>
      <c r="C408" s="5" t="s">
        <v>2597</v>
      </c>
      <c r="D408" s="5" t="s">
        <v>44</v>
      </c>
      <c r="E408" s="5" t="s">
        <v>207</v>
      </c>
      <c r="F408" s="3" t="s">
        <v>2598</v>
      </c>
      <c r="G408" s="3" t="str">
        <f>"01016075"</f>
        <v>01016075</v>
      </c>
    </row>
    <row r="409" spans="1:7" x14ac:dyDescent="0.25">
      <c r="A409" s="2">
        <v>408</v>
      </c>
      <c r="B409" s="3">
        <v>8463</v>
      </c>
      <c r="C409" s="5" t="s">
        <v>3008</v>
      </c>
      <c r="D409" s="5" t="s">
        <v>545</v>
      </c>
      <c r="E409" s="5" t="s">
        <v>44</v>
      </c>
      <c r="F409" s="3" t="s">
        <v>3009</v>
      </c>
      <c r="G409" s="3" t="str">
        <f>"00190340"</f>
        <v>00190340</v>
      </c>
    </row>
    <row r="410" spans="1:7" x14ac:dyDescent="0.25">
      <c r="A410" s="2">
        <v>409</v>
      </c>
      <c r="B410" s="3">
        <v>9971</v>
      </c>
      <c r="C410" s="5" t="s">
        <v>1578</v>
      </c>
      <c r="D410" s="5" t="s">
        <v>24</v>
      </c>
      <c r="E410" s="5" t="s">
        <v>503</v>
      </c>
      <c r="F410" s="3" t="s">
        <v>1579</v>
      </c>
      <c r="G410" s="3" t="str">
        <f>"00006592"</f>
        <v>00006592</v>
      </c>
    </row>
    <row r="411" spans="1:7" x14ac:dyDescent="0.25">
      <c r="A411" s="2">
        <v>410</v>
      </c>
      <c r="B411" s="3">
        <v>2492</v>
      </c>
      <c r="C411" s="5" t="s">
        <v>4177</v>
      </c>
      <c r="D411" s="5" t="s">
        <v>2772</v>
      </c>
      <c r="E411" s="5" t="s">
        <v>11</v>
      </c>
      <c r="F411" s="3" t="s">
        <v>4178</v>
      </c>
      <c r="G411" s="3" t="str">
        <f>"00448996"</f>
        <v>00448996</v>
      </c>
    </row>
    <row r="412" spans="1:7" x14ac:dyDescent="0.25">
      <c r="A412" s="2">
        <v>411</v>
      </c>
      <c r="B412" s="3">
        <v>4895</v>
      </c>
      <c r="C412" s="5" t="s">
        <v>4766</v>
      </c>
      <c r="D412" s="5" t="s">
        <v>366</v>
      </c>
      <c r="E412" s="5" t="s">
        <v>5</v>
      </c>
      <c r="F412" s="3" t="s">
        <v>4767</v>
      </c>
      <c r="G412" s="3" t="str">
        <f>"201601001164"</f>
        <v>201601001164</v>
      </c>
    </row>
    <row r="413" spans="1:7" x14ac:dyDescent="0.25">
      <c r="A413" s="2">
        <v>412</v>
      </c>
      <c r="B413" s="3">
        <v>1800</v>
      </c>
      <c r="C413" s="5" t="s">
        <v>3864</v>
      </c>
      <c r="D413" s="5" t="s">
        <v>14</v>
      </c>
      <c r="E413" s="5" t="s">
        <v>2033</v>
      </c>
      <c r="F413" s="3" t="s">
        <v>3865</v>
      </c>
      <c r="G413" s="3" t="str">
        <f>"00977786"</f>
        <v>00977786</v>
      </c>
    </row>
    <row r="414" spans="1:7" x14ac:dyDescent="0.25">
      <c r="A414" s="2">
        <v>413</v>
      </c>
      <c r="B414" s="3">
        <v>3348</v>
      </c>
      <c r="C414" s="5" t="s">
        <v>822</v>
      </c>
      <c r="D414" s="5" t="s">
        <v>821</v>
      </c>
      <c r="E414" s="5" t="s">
        <v>14</v>
      </c>
      <c r="F414" s="3" t="s">
        <v>823</v>
      </c>
      <c r="G414" s="3" t="str">
        <f>"00862505"</f>
        <v>00862505</v>
      </c>
    </row>
    <row r="415" spans="1:7" x14ac:dyDescent="0.25">
      <c r="A415" s="2">
        <v>414</v>
      </c>
      <c r="B415" s="3">
        <v>2935</v>
      </c>
      <c r="C415" s="5" t="s">
        <v>2799</v>
      </c>
      <c r="D415" s="5" t="s">
        <v>2798</v>
      </c>
      <c r="E415" s="5" t="s">
        <v>667</v>
      </c>
      <c r="F415" s="3" t="s">
        <v>2800</v>
      </c>
      <c r="G415" s="3" t="str">
        <f>"00818651"</f>
        <v>00818651</v>
      </c>
    </row>
    <row r="416" spans="1:7" x14ac:dyDescent="0.25">
      <c r="A416" s="2">
        <v>415</v>
      </c>
      <c r="B416" s="3">
        <v>8209</v>
      </c>
      <c r="C416" s="5" t="s">
        <v>4677</v>
      </c>
      <c r="D416" s="5" t="s">
        <v>129</v>
      </c>
      <c r="E416" s="5" t="s">
        <v>11</v>
      </c>
      <c r="F416" s="3">
        <v>711583014</v>
      </c>
      <c r="G416" s="3" t="str">
        <f>"00154289"</f>
        <v>00154289</v>
      </c>
    </row>
    <row r="417" spans="1:7" x14ac:dyDescent="0.25">
      <c r="A417" s="2">
        <v>416</v>
      </c>
      <c r="B417" s="3">
        <v>3986</v>
      </c>
      <c r="C417" s="5" t="s">
        <v>4603</v>
      </c>
      <c r="D417" s="5" t="s">
        <v>214</v>
      </c>
      <c r="E417" s="5" t="s">
        <v>129</v>
      </c>
      <c r="F417" s="3" t="s">
        <v>4604</v>
      </c>
      <c r="G417" s="3" t="str">
        <f>"00872221"</f>
        <v>00872221</v>
      </c>
    </row>
    <row r="418" spans="1:7" x14ac:dyDescent="0.25">
      <c r="A418" s="2">
        <v>417</v>
      </c>
      <c r="B418" s="3">
        <v>846</v>
      </c>
      <c r="C418" s="5" t="s">
        <v>3026</v>
      </c>
      <c r="D418" s="5" t="s">
        <v>644</v>
      </c>
      <c r="E418" s="5" t="s">
        <v>87</v>
      </c>
      <c r="F418" s="3" t="s">
        <v>3027</v>
      </c>
      <c r="G418" s="3" t="str">
        <f>"00993973"</f>
        <v>00993973</v>
      </c>
    </row>
    <row r="419" spans="1:7" x14ac:dyDescent="0.25">
      <c r="A419" s="2">
        <v>418</v>
      </c>
      <c r="B419" s="3">
        <v>1969</v>
      </c>
      <c r="C419" s="5" t="s">
        <v>1559</v>
      </c>
      <c r="D419" s="5" t="s">
        <v>667</v>
      </c>
      <c r="E419" s="5" t="s">
        <v>5</v>
      </c>
      <c r="F419" s="3" t="s">
        <v>1560</v>
      </c>
      <c r="G419" s="3" t="str">
        <f>"00979429"</f>
        <v>00979429</v>
      </c>
    </row>
    <row r="420" spans="1:7" x14ac:dyDescent="0.25">
      <c r="A420" s="2">
        <v>419</v>
      </c>
      <c r="B420" s="3">
        <v>3791</v>
      </c>
      <c r="C420" s="5" t="s">
        <v>4139</v>
      </c>
      <c r="D420" s="5" t="s">
        <v>4138</v>
      </c>
      <c r="E420" s="5" t="s">
        <v>11</v>
      </c>
      <c r="F420" s="3" t="s">
        <v>4140</v>
      </c>
      <c r="G420" s="3" t="str">
        <f>"00978786"</f>
        <v>00978786</v>
      </c>
    </row>
    <row r="421" spans="1:7" x14ac:dyDescent="0.25">
      <c r="A421" s="2">
        <v>420</v>
      </c>
      <c r="B421" s="3">
        <v>1983</v>
      </c>
      <c r="C421" s="5" t="s">
        <v>4233</v>
      </c>
      <c r="D421" s="5" t="s">
        <v>696</v>
      </c>
      <c r="E421" s="5" t="s">
        <v>545</v>
      </c>
      <c r="F421" s="3" t="s">
        <v>4234</v>
      </c>
      <c r="G421" s="3" t="str">
        <f>"00929358"</f>
        <v>00929358</v>
      </c>
    </row>
    <row r="422" spans="1:7" x14ac:dyDescent="0.25">
      <c r="A422" s="2">
        <v>421</v>
      </c>
      <c r="B422" s="3">
        <v>4417</v>
      </c>
      <c r="C422" s="5" t="s">
        <v>3419</v>
      </c>
      <c r="D422" s="5" t="s">
        <v>91</v>
      </c>
      <c r="E422" s="5" t="s">
        <v>284</v>
      </c>
      <c r="F422" s="3">
        <v>2013156</v>
      </c>
      <c r="G422" s="3" t="str">
        <f>"00793546"</f>
        <v>00793546</v>
      </c>
    </row>
    <row r="423" spans="1:7" x14ac:dyDescent="0.25">
      <c r="A423" s="2">
        <v>422</v>
      </c>
      <c r="B423" s="3">
        <v>8891</v>
      </c>
      <c r="C423" s="5" t="s">
        <v>3075</v>
      </c>
      <c r="D423" s="5" t="s">
        <v>3074</v>
      </c>
      <c r="E423" s="5" t="s">
        <v>27</v>
      </c>
      <c r="F423" s="3" t="s">
        <v>3076</v>
      </c>
      <c r="G423" s="3" t="str">
        <f>"00980946"</f>
        <v>00980946</v>
      </c>
    </row>
    <row r="424" spans="1:7" x14ac:dyDescent="0.25">
      <c r="A424" s="2">
        <v>423</v>
      </c>
      <c r="B424" s="3">
        <v>4333</v>
      </c>
      <c r="C424" s="5" t="s">
        <v>793</v>
      </c>
      <c r="D424" s="5" t="s">
        <v>87</v>
      </c>
      <c r="E424" s="5" t="s">
        <v>14</v>
      </c>
      <c r="F424" s="3" t="s">
        <v>1966</v>
      </c>
      <c r="G424" s="3" t="str">
        <f>"00928175"</f>
        <v>00928175</v>
      </c>
    </row>
    <row r="425" spans="1:7" x14ac:dyDescent="0.25">
      <c r="A425" s="2">
        <v>424</v>
      </c>
      <c r="B425" s="3">
        <v>2122</v>
      </c>
      <c r="C425" s="5" t="s">
        <v>793</v>
      </c>
      <c r="D425" s="5" t="s">
        <v>52</v>
      </c>
      <c r="E425" s="5" t="s">
        <v>87</v>
      </c>
      <c r="F425" s="3" t="s">
        <v>2969</v>
      </c>
      <c r="G425" s="3" t="str">
        <f>"00980655"</f>
        <v>00980655</v>
      </c>
    </row>
    <row r="426" spans="1:7" x14ac:dyDescent="0.25">
      <c r="A426" s="2">
        <v>425</v>
      </c>
      <c r="B426" s="3">
        <v>5758</v>
      </c>
      <c r="C426" s="5" t="s">
        <v>793</v>
      </c>
      <c r="D426" s="5" t="s">
        <v>11</v>
      </c>
      <c r="E426" s="5" t="s">
        <v>87</v>
      </c>
      <c r="F426" s="3" t="s">
        <v>794</v>
      </c>
      <c r="G426" s="3" t="str">
        <f>"00991141"</f>
        <v>00991141</v>
      </c>
    </row>
    <row r="427" spans="1:7" x14ac:dyDescent="0.25">
      <c r="A427" s="2">
        <v>426</v>
      </c>
      <c r="B427" s="3">
        <v>3519</v>
      </c>
      <c r="C427" s="5" t="s">
        <v>1723</v>
      </c>
      <c r="D427" s="5" t="s">
        <v>545</v>
      </c>
      <c r="E427" s="5" t="s">
        <v>844</v>
      </c>
      <c r="F427" s="3" t="s">
        <v>1724</v>
      </c>
      <c r="G427" s="3" t="str">
        <f>"00981725"</f>
        <v>00981725</v>
      </c>
    </row>
    <row r="428" spans="1:7" x14ac:dyDescent="0.25">
      <c r="A428" s="2">
        <v>427</v>
      </c>
      <c r="B428" s="3">
        <v>5530</v>
      </c>
      <c r="C428" s="5" t="s">
        <v>3964</v>
      </c>
      <c r="D428" s="5" t="s">
        <v>198</v>
      </c>
      <c r="E428" s="5" t="s">
        <v>1738</v>
      </c>
      <c r="F428" s="3" t="s">
        <v>3965</v>
      </c>
      <c r="G428" s="3" t="str">
        <f>"00881975"</f>
        <v>00881975</v>
      </c>
    </row>
    <row r="429" spans="1:7" x14ac:dyDescent="0.25">
      <c r="A429" s="2">
        <v>428</v>
      </c>
      <c r="B429" s="3">
        <v>7708</v>
      </c>
      <c r="C429" s="5" t="s">
        <v>2852</v>
      </c>
      <c r="D429" s="5" t="s">
        <v>94</v>
      </c>
      <c r="E429" s="5" t="s">
        <v>1814</v>
      </c>
      <c r="F429" s="3" t="s">
        <v>2853</v>
      </c>
      <c r="G429" s="3" t="str">
        <f>"01009705"</f>
        <v>01009705</v>
      </c>
    </row>
    <row r="430" spans="1:7" x14ac:dyDescent="0.25">
      <c r="A430" s="2">
        <v>429</v>
      </c>
      <c r="B430" s="3">
        <v>12781</v>
      </c>
      <c r="C430" s="5" t="s">
        <v>2243</v>
      </c>
      <c r="D430" s="5" t="s">
        <v>63</v>
      </c>
      <c r="E430" s="5" t="s">
        <v>14</v>
      </c>
      <c r="F430" s="3">
        <v>900677013</v>
      </c>
      <c r="G430" s="3" t="str">
        <f>"00447965"</f>
        <v>00447965</v>
      </c>
    </row>
    <row r="431" spans="1:7" x14ac:dyDescent="0.25">
      <c r="A431" s="2">
        <v>430</v>
      </c>
      <c r="B431" s="3">
        <v>10386</v>
      </c>
      <c r="C431" s="5" t="s">
        <v>2810</v>
      </c>
      <c r="D431" s="5" t="s">
        <v>830</v>
      </c>
      <c r="E431" s="5" t="s">
        <v>135</v>
      </c>
      <c r="F431" s="3" t="s">
        <v>2811</v>
      </c>
      <c r="G431" s="3" t="str">
        <f>"00050443"</f>
        <v>00050443</v>
      </c>
    </row>
    <row r="432" spans="1:7" x14ac:dyDescent="0.25">
      <c r="A432" s="2">
        <v>431</v>
      </c>
      <c r="B432" s="3">
        <v>9040</v>
      </c>
      <c r="C432" s="5" t="s">
        <v>3723</v>
      </c>
      <c r="D432" s="5" t="s">
        <v>87</v>
      </c>
      <c r="E432" s="5" t="s">
        <v>5</v>
      </c>
      <c r="F432" s="3" t="s">
        <v>3724</v>
      </c>
      <c r="G432" s="3" t="str">
        <f>"00900907"</f>
        <v>00900907</v>
      </c>
    </row>
    <row r="433" spans="1:7" x14ac:dyDescent="0.25">
      <c r="A433" s="2">
        <v>432</v>
      </c>
      <c r="B433" s="3">
        <v>1908</v>
      </c>
      <c r="C433" s="5" t="s">
        <v>356</v>
      </c>
      <c r="D433" s="5" t="s">
        <v>355</v>
      </c>
      <c r="E433" s="5" t="s">
        <v>14</v>
      </c>
      <c r="F433" s="3" t="s">
        <v>357</v>
      </c>
      <c r="G433" s="3" t="str">
        <f>"01013290"</f>
        <v>01013290</v>
      </c>
    </row>
    <row r="434" spans="1:7" x14ac:dyDescent="0.25">
      <c r="A434" s="2">
        <v>433</v>
      </c>
      <c r="B434" s="3">
        <v>8246</v>
      </c>
      <c r="C434" s="5" t="s">
        <v>3305</v>
      </c>
      <c r="D434" s="5" t="s">
        <v>44</v>
      </c>
      <c r="E434" s="5" t="s">
        <v>4878</v>
      </c>
      <c r="F434" s="3" t="s">
        <v>3306</v>
      </c>
      <c r="G434" s="3" t="str">
        <f>"00816920"</f>
        <v>00816920</v>
      </c>
    </row>
    <row r="435" spans="1:7" x14ac:dyDescent="0.25">
      <c r="A435" s="2">
        <v>434</v>
      </c>
      <c r="B435" s="3">
        <v>5681</v>
      </c>
      <c r="C435" s="5" t="s">
        <v>2482</v>
      </c>
      <c r="D435" s="5" t="s">
        <v>94</v>
      </c>
      <c r="E435" s="5" t="s">
        <v>214</v>
      </c>
      <c r="F435" s="3" t="s">
        <v>2483</v>
      </c>
      <c r="G435" s="3" t="str">
        <f>"01016850"</f>
        <v>01016850</v>
      </c>
    </row>
    <row r="436" spans="1:7" x14ac:dyDescent="0.25">
      <c r="A436" s="2">
        <v>435</v>
      </c>
      <c r="B436" s="3">
        <v>6551</v>
      </c>
      <c r="C436" s="5" t="s">
        <v>4386</v>
      </c>
      <c r="D436" s="5" t="s">
        <v>4385</v>
      </c>
      <c r="E436" s="5" t="s">
        <v>4835</v>
      </c>
      <c r="F436" s="3" t="s">
        <v>4387</v>
      </c>
      <c r="G436" s="3" t="str">
        <f>"00847860"</f>
        <v>00847860</v>
      </c>
    </row>
    <row r="437" spans="1:7" x14ac:dyDescent="0.25">
      <c r="A437" s="2">
        <v>436</v>
      </c>
      <c r="B437" s="3">
        <v>6220</v>
      </c>
      <c r="C437" s="5" t="s">
        <v>4316</v>
      </c>
      <c r="D437" s="5" t="s">
        <v>87</v>
      </c>
      <c r="E437" s="5" t="s">
        <v>11</v>
      </c>
      <c r="F437" s="3" t="s">
        <v>4317</v>
      </c>
      <c r="G437" s="3" t="str">
        <f>"00983461"</f>
        <v>00983461</v>
      </c>
    </row>
    <row r="438" spans="1:7" x14ac:dyDescent="0.25">
      <c r="A438" s="2">
        <v>437</v>
      </c>
      <c r="B438" s="3">
        <v>7721</v>
      </c>
      <c r="C438" s="5" t="s">
        <v>1111</v>
      </c>
      <c r="D438" s="5" t="s">
        <v>1110</v>
      </c>
      <c r="E438" s="5" t="s">
        <v>52</v>
      </c>
      <c r="F438" s="3" t="s">
        <v>1112</v>
      </c>
      <c r="G438" s="3" t="str">
        <f>"00775338"</f>
        <v>00775338</v>
      </c>
    </row>
    <row r="439" spans="1:7" x14ac:dyDescent="0.25">
      <c r="A439" s="2">
        <v>438</v>
      </c>
      <c r="B439" s="3">
        <v>12652</v>
      </c>
      <c r="C439" s="5" t="s">
        <v>1119</v>
      </c>
      <c r="D439" s="5" t="s">
        <v>1118</v>
      </c>
      <c r="E439" s="5" t="s">
        <v>635</v>
      </c>
      <c r="F439" s="3" t="s">
        <v>1120</v>
      </c>
      <c r="G439" s="3" t="str">
        <f>"201507004457"</f>
        <v>201507004457</v>
      </c>
    </row>
    <row r="440" spans="1:7" x14ac:dyDescent="0.25">
      <c r="A440" s="2">
        <v>439</v>
      </c>
      <c r="B440" s="3">
        <v>12876</v>
      </c>
      <c r="C440" s="5" t="s">
        <v>1119</v>
      </c>
      <c r="D440" s="5" t="s">
        <v>776</v>
      </c>
      <c r="E440" s="5" t="s">
        <v>5</v>
      </c>
      <c r="F440" s="3">
        <v>15601</v>
      </c>
      <c r="G440" s="3" t="str">
        <f>"00985127"</f>
        <v>00985127</v>
      </c>
    </row>
    <row r="441" spans="1:7" x14ac:dyDescent="0.25">
      <c r="A441" s="2">
        <v>440</v>
      </c>
      <c r="B441" s="3">
        <v>159</v>
      </c>
      <c r="C441" s="5" t="s">
        <v>329</v>
      </c>
      <c r="D441" s="5" t="s">
        <v>667</v>
      </c>
      <c r="E441" s="5" t="s">
        <v>52</v>
      </c>
      <c r="F441" s="3" t="s">
        <v>1595</v>
      </c>
      <c r="G441" s="3" t="str">
        <f>"00774315"</f>
        <v>00774315</v>
      </c>
    </row>
    <row r="442" spans="1:7" x14ac:dyDescent="0.25">
      <c r="A442" s="2">
        <v>441</v>
      </c>
      <c r="B442" s="3">
        <v>8410</v>
      </c>
      <c r="C442" s="5" t="s">
        <v>329</v>
      </c>
      <c r="D442" s="5" t="s">
        <v>198</v>
      </c>
      <c r="E442" s="5" t="s">
        <v>129</v>
      </c>
      <c r="F442" s="3">
        <v>83135</v>
      </c>
      <c r="G442" s="3" t="str">
        <f>"01014828"</f>
        <v>01014828</v>
      </c>
    </row>
    <row r="443" spans="1:7" x14ac:dyDescent="0.25">
      <c r="A443" s="2">
        <v>442</v>
      </c>
      <c r="B443" s="3">
        <v>6749</v>
      </c>
      <c r="C443" s="5" t="s">
        <v>329</v>
      </c>
      <c r="D443" s="5" t="s">
        <v>87</v>
      </c>
      <c r="E443" s="5" t="s">
        <v>52</v>
      </c>
      <c r="F443" s="3" t="s">
        <v>4550</v>
      </c>
      <c r="G443" s="3" t="str">
        <f>"00934244"</f>
        <v>00934244</v>
      </c>
    </row>
    <row r="444" spans="1:7" x14ac:dyDescent="0.25">
      <c r="A444" s="2">
        <v>443</v>
      </c>
      <c r="B444" s="3">
        <v>859</v>
      </c>
      <c r="C444" s="5" t="s">
        <v>329</v>
      </c>
      <c r="D444" s="5" t="s">
        <v>644</v>
      </c>
      <c r="E444" s="5" t="s">
        <v>1023</v>
      </c>
      <c r="F444" s="3" t="s">
        <v>4448</v>
      </c>
      <c r="G444" s="3" t="str">
        <f>"01015054"</f>
        <v>01015054</v>
      </c>
    </row>
    <row r="445" spans="1:7" x14ac:dyDescent="0.25">
      <c r="A445" s="2">
        <v>444</v>
      </c>
      <c r="B445" s="3">
        <v>3556</v>
      </c>
      <c r="C445" s="5" t="s">
        <v>1889</v>
      </c>
      <c r="D445" s="5" t="s">
        <v>167</v>
      </c>
      <c r="E445" s="5" t="s">
        <v>11</v>
      </c>
      <c r="F445" s="3" t="s">
        <v>1890</v>
      </c>
      <c r="G445" s="3" t="str">
        <f>"00112782"</f>
        <v>00112782</v>
      </c>
    </row>
    <row r="446" spans="1:7" x14ac:dyDescent="0.25">
      <c r="A446" s="2">
        <v>445</v>
      </c>
      <c r="B446" s="3">
        <v>11134</v>
      </c>
      <c r="C446" s="5" t="s">
        <v>163</v>
      </c>
      <c r="D446" s="5" t="s">
        <v>162</v>
      </c>
      <c r="E446" s="5" t="s">
        <v>252</v>
      </c>
      <c r="F446" s="3" t="s">
        <v>164</v>
      </c>
      <c r="G446" s="3" t="str">
        <f>"00974596"</f>
        <v>00974596</v>
      </c>
    </row>
    <row r="447" spans="1:7" x14ac:dyDescent="0.25">
      <c r="A447" s="2">
        <v>446</v>
      </c>
      <c r="B447" s="3">
        <v>6036</v>
      </c>
      <c r="C447" s="5" t="s">
        <v>15</v>
      </c>
      <c r="D447" s="5" t="s">
        <v>14</v>
      </c>
      <c r="E447" s="5" t="s">
        <v>44</v>
      </c>
      <c r="F447" s="3">
        <v>1062601</v>
      </c>
      <c r="G447" s="3" t="str">
        <f>"01016733"</f>
        <v>01016733</v>
      </c>
    </row>
    <row r="448" spans="1:7" x14ac:dyDescent="0.25">
      <c r="A448" s="2">
        <v>447</v>
      </c>
      <c r="B448" s="3">
        <v>809</v>
      </c>
      <c r="C448" s="5" t="s">
        <v>4668</v>
      </c>
      <c r="D448" s="5" t="s">
        <v>4667</v>
      </c>
      <c r="E448" s="5" t="s">
        <v>87</v>
      </c>
      <c r="F448" s="3" t="s">
        <v>4669</v>
      </c>
      <c r="G448" s="3" t="str">
        <f>"00109933"</f>
        <v>00109933</v>
      </c>
    </row>
    <row r="449" spans="1:7" x14ac:dyDescent="0.25">
      <c r="A449" s="2">
        <v>448</v>
      </c>
      <c r="B449" s="3">
        <v>11325</v>
      </c>
      <c r="C449" s="5" t="s">
        <v>2103</v>
      </c>
      <c r="D449" s="5" t="s">
        <v>14</v>
      </c>
      <c r="E449" s="5" t="s">
        <v>635</v>
      </c>
      <c r="F449" s="3" t="s">
        <v>4443</v>
      </c>
      <c r="G449" s="3" t="str">
        <f>"00890897"</f>
        <v>00890897</v>
      </c>
    </row>
    <row r="450" spans="1:7" x14ac:dyDescent="0.25">
      <c r="A450" s="2">
        <v>449</v>
      </c>
      <c r="B450" s="3">
        <v>10402</v>
      </c>
      <c r="C450" s="5" t="s">
        <v>2103</v>
      </c>
      <c r="D450" s="5" t="s">
        <v>5</v>
      </c>
      <c r="E450" s="5" t="s">
        <v>52</v>
      </c>
      <c r="F450" s="3" t="s">
        <v>2104</v>
      </c>
      <c r="G450" s="3" t="str">
        <f>"00977348"</f>
        <v>00977348</v>
      </c>
    </row>
    <row r="451" spans="1:7" x14ac:dyDescent="0.25">
      <c r="A451" s="2">
        <v>450</v>
      </c>
      <c r="B451" s="3">
        <v>11587</v>
      </c>
      <c r="C451" s="5" t="s">
        <v>4445</v>
      </c>
      <c r="D451" s="5" t="s">
        <v>4444</v>
      </c>
      <c r="E451" s="5" t="s">
        <v>4900</v>
      </c>
      <c r="F451" s="3">
        <v>710563011</v>
      </c>
      <c r="G451" s="3" t="str">
        <f>"00306410"</f>
        <v>00306410</v>
      </c>
    </row>
    <row r="452" spans="1:7" x14ac:dyDescent="0.25">
      <c r="A452" s="2">
        <v>451</v>
      </c>
      <c r="B452" s="3">
        <v>10224</v>
      </c>
      <c r="C452" s="5" t="s">
        <v>3207</v>
      </c>
      <c r="D452" s="5" t="s">
        <v>87</v>
      </c>
      <c r="E452" s="5" t="s">
        <v>252</v>
      </c>
      <c r="F452" s="3" t="s">
        <v>3208</v>
      </c>
      <c r="G452" s="3" t="str">
        <f>"00978791"</f>
        <v>00978791</v>
      </c>
    </row>
    <row r="453" spans="1:7" x14ac:dyDescent="0.25">
      <c r="A453" s="2">
        <v>452</v>
      </c>
      <c r="B453" s="3">
        <v>969</v>
      </c>
      <c r="C453" s="5" t="s">
        <v>508</v>
      </c>
      <c r="D453" s="5" t="s">
        <v>52</v>
      </c>
      <c r="E453" s="5" t="s">
        <v>14</v>
      </c>
      <c r="F453" s="3" t="s">
        <v>509</v>
      </c>
      <c r="G453" s="3" t="str">
        <f>"00443050"</f>
        <v>00443050</v>
      </c>
    </row>
    <row r="454" spans="1:7" x14ac:dyDescent="0.25">
      <c r="A454" s="2">
        <v>453</v>
      </c>
      <c r="B454" s="3">
        <v>11096</v>
      </c>
      <c r="C454" s="5" t="s">
        <v>774</v>
      </c>
      <c r="D454" s="5" t="s">
        <v>773</v>
      </c>
      <c r="E454" s="5" t="s">
        <v>1023</v>
      </c>
      <c r="F454" s="3" t="s">
        <v>775</v>
      </c>
      <c r="G454" s="3" t="str">
        <f>"01016302"</f>
        <v>01016302</v>
      </c>
    </row>
    <row r="455" spans="1:7" x14ac:dyDescent="0.25">
      <c r="A455" s="2">
        <v>454</v>
      </c>
      <c r="B455" s="3">
        <v>7951</v>
      </c>
      <c r="C455" s="5" t="s">
        <v>327</v>
      </c>
      <c r="D455" s="5" t="s">
        <v>44</v>
      </c>
      <c r="E455" s="5" t="s">
        <v>11</v>
      </c>
      <c r="F455" s="3" t="s">
        <v>328</v>
      </c>
      <c r="G455" s="3" t="str">
        <f>"00143536"</f>
        <v>00143536</v>
      </c>
    </row>
    <row r="456" spans="1:7" x14ac:dyDescent="0.25">
      <c r="A456" s="2">
        <v>455</v>
      </c>
      <c r="B456" s="3">
        <v>6764</v>
      </c>
      <c r="C456" s="5" t="s">
        <v>3303</v>
      </c>
      <c r="D456" s="5" t="s">
        <v>619</v>
      </c>
      <c r="E456" s="5" t="s">
        <v>38</v>
      </c>
      <c r="F456" s="3" t="s">
        <v>3304</v>
      </c>
      <c r="G456" s="3" t="str">
        <f>"00740352"</f>
        <v>00740352</v>
      </c>
    </row>
    <row r="457" spans="1:7" x14ac:dyDescent="0.25">
      <c r="A457" s="2">
        <v>456</v>
      </c>
      <c r="B457" s="3">
        <v>2251</v>
      </c>
      <c r="C457" s="5" t="s">
        <v>788</v>
      </c>
      <c r="D457" s="5" t="s">
        <v>70</v>
      </c>
      <c r="E457" s="5" t="s">
        <v>1607</v>
      </c>
      <c r="F457" s="3" t="s">
        <v>1838</v>
      </c>
      <c r="G457" s="3" t="str">
        <f>"00986628"</f>
        <v>00986628</v>
      </c>
    </row>
    <row r="458" spans="1:7" x14ac:dyDescent="0.25">
      <c r="A458" s="2">
        <v>457</v>
      </c>
      <c r="B458" s="3">
        <v>1870</v>
      </c>
      <c r="C458" s="5" t="s">
        <v>788</v>
      </c>
      <c r="D458" s="5" t="s">
        <v>94</v>
      </c>
      <c r="E458" s="5" t="s">
        <v>4810</v>
      </c>
      <c r="F458" s="3" t="s">
        <v>1012</v>
      </c>
      <c r="G458" s="3" t="str">
        <f>"00838598"</f>
        <v>00838598</v>
      </c>
    </row>
    <row r="459" spans="1:7" x14ac:dyDescent="0.25">
      <c r="A459" s="2">
        <v>458</v>
      </c>
      <c r="B459" s="3">
        <v>2289</v>
      </c>
      <c r="C459" s="5" t="s">
        <v>788</v>
      </c>
      <c r="D459" s="5" t="s">
        <v>14</v>
      </c>
      <c r="E459" s="5" t="s">
        <v>284</v>
      </c>
      <c r="F459" s="3" t="s">
        <v>789</v>
      </c>
      <c r="G459" s="3" t="str">
        <f>"00978995"</f>
        <v>00978995</v>
      </c>
    </row>
    <row r="460" spans="1:7" x14ac:dyDescent="0.25">
      <c r="A460" s="2">
        <v>459</v>
      </c>
      <c r="B460" s="3">
        <v>12566</v>
      </c>
      <c r="C460" s="5" t="s">
        <v>2241</v>
      </c>
      <c r="D460" s="5" t="s">
        <v>935</v>
      </c>
      <c r="E460" s="5" t="s">
        <v>32</v>
      </c>
      <c r="F460" s="3" t="s">
        <v>2242</v>
      </c>
      <c r="G460" s="3" t="str">
        <f>"01003527"</f>
        <v>01003527</v>
      </c>
    </row>
    <row r="461" spans="1:7" x14ac:dyDescent="0.25">
      <c r="A461" s="2">
        <v>460</v>
      </c>
      <c r="B461" s="3">
        <v>3389</v>
      </c>
      <c r="C461" s="5" t="s">
        <v>2241</v>
      </c>
      <c r="D461" s="5" t="s">
        <v>126</v>
      </c>
      <c r="E461" s="5" t="s">
        <v>284</v>
      </c>
      <c r="F461" s="3" t="s">
        <v>4137</v>
      </c>
      <c r="G461" s="3" t="str">
        <f>"00948557"</f>
        <v>00948557</v>
      </c>
    </row>
    <row r="462" spans="1:7" x14ac:dyDescent="0.25">
      <c r="A462" s="2">
        <v>461</v>
      </c>
      <c r="B462" s="3">
        <v>8541</v>
      </c>
      <c r="C462" s="5" t="s">
        <v>2228</v>
      </c>
      <c r="D462" s="5" t="s">
        <v>258</v>
      </c>
      <c r="E462" s="5" t="s">
        <v>11</v>
      </c>
      <c r="F462" s="3" t="s">
        <v>2229</v>
      </c>
      <c r="G462" s="3" t="str">
        <f>"00811584"</f>
        <v>00811584</v>
      </c>
    </row>
    <row r="463" spans="1:7" x14ac:dyDescent="0.25">
      <c r="A463" s="2">
        <v>462</v>
      </c>
      <c r="B463" s="3">
        <v>11494</v>
      </c>
      <c r="C463" s="5" t="s">
        <v>779</v>
      </c>
      <c r="D463" s="5" t="s">
        <v>87</v>
      </c>
      <c r="E463" s="5" t="s">
        <v>52</v>
      </c>
      <c r="F463" s="3">
        <v>34146</v>
      </c>
      <c r="G463" s="3" t="str">
        <f>"00994612"</f>
        <v>00994612</v>
      </c>
    </row>
    <row r="464" spans="1:7" x14ac:dyDescent="0.25">
      <c r="A464" s="2">
        <v>463</v>
      </c>
      <c r="B464" s="3">
        <v>7620</v>
      </c>
      <c r="C464" s="5" t="s">
        <v>3103</v>
      </c>
      <c r="D464" s="5" t="s">
        <v>129</v>
      </c>
      <c r="E464" s="5" t="s">
        <v>5</v>
      </c>
      <c r="F464" s="3" t="s">
        <v>3104</v>
      </c>
      <c r="G464" s="3" t="str">
        <f>"01015125"</f>
        <v>01015125</v>
      </c>
    </row>
    <row r="465" spans="1:7" x14ac:dyDescent="0.25">
      <c r="A465" s="2">
        <v>464</v>
      </c>
      <c r="B465" s="3">
        <v>8147</v>
      </c>
      <c r="C465" s="5" t="s">
        <v>4050</v>
      </c>
      <c r="D465" s="5" t="s">
        <v>44</v>
      </c>
      <c r="E465" s="5" t="s">
        <v>4864</v>
      </c>
      <c r="F465" s="3" t="s">
        <v>4051</v>
      </c>
      <c r="G465" s="3" t="str">
        <f>"00244878"</f>
        <v>00244878</v>
      </c>
    </row>
    <row r="466" spans="1:7" x14ac:dyDescent="0.25">
      <c r="A466" s="2">
        <v>465</v>
      </c>
      <c r="B466" s="3">
        <v>9770</v>
      </c>
      <c r="C466" s="5" t="s">
        <v>3676</v>
      </c>
      <c r="D466" s="5" t="s">
        <v>635</v>
      </c>
      <c r="E466" s="5" t="s">
        <v>214</v>
      </c>
      <c r="F466" s="3" t="s">
        <v>3677</v>
      </c>
      <c r="G466" s="3" t="str">
        <f>"01016857"</f>
        <v>01016857</v>
      </c>
    </row>
    <row r="467" spans="1:7" x14ac:dyDescent="0.25">
      <c r="A467" s="2">
        <v>466</v>
      </c>
      <c r="B467" s="3">
        <v>7296</v>
      </c>
      <c r="C467" s="5" t="s">
        <v>1326</v>
      </c>
      <c r="D467" s="5" t="s">
        <v>667</v>
      </c>
      <c r="E467" s="5" t="s">
        <v>87</v>
      </c>
      <c r="F467" s="3" t="s">
        <v>1327</v>
      </c>
      <c r="G467" s="3" t="str">
        <f>"01014982"</f>
        <v>01014982</v>
      </c>
    </row>
    <row r="468" spans="1:7" x14ac:dyDescent="0.25">
      <c r="A468" s="2">
        <v>467</v>
      </c>
      <c r="B468" s="3">
        <v>4658</v>
      </c>
      <c r="C468" s="5" t="s">
        <v>2721</v>
      </c>
      <c r="D468" s="5" t="s">
        <v>457</v>
      </c>
      <c r="E468" s="5" t="s">
        <v>52</v>
      </c>
      <c r="F468" s="3" t="s">
        <v>2722</v>
      </c>
      <c r="G468" s="3" t="str">
        <f>"00850695"</f>
        <v>00850695</v>
      </c>
    </row>
    <row r="469" spans="1:7" x14ac:dyDescent="0.25">
      <c r="A469" s="2">
        <v>468</v>
      </c>
      <c r="B469" s="3">
        <v>7018</v>
      </c>
      <c r="C469" s="5" t="s">
        <v>1688</v>
      </c>
      <c r="D469" s="5" t="s">
        <v>87</v>
      </c>
      <c r="E469" s="5" t="s">
        <v>4832</v>
      </c>
      <c r="F469" s="3" t="s">
        <v>1689</v>
      </c>
      <c r="G469" s="3" t="str">
        <f>"00754000"</f>
        <v>00754000</v>
      </c>
    </row>
    <row r="470" spans="1:7" x14ac:dyDescent="0.25">
      <c r="A470" s="2">
        <v>469</v>
      </c>
      <c r="B470" s="3">
        <v>473</v>
      </c>
      <c r="C470" s="5" t="s">
        <v>4755</v>
      </c>
      <c r="D470" s="5" t="s">
        <v>11</v>
      </c>
      <c r="E470" s="5" t="s">
        <v>91</v>
      </c>
      <c r="F470" s="3" t="s">
        <v>4756</v>
      </c>
      <c r="G470" s="3" t="str">
        <f>"00788383"</f>
        <v>00788383</v>
      </c>
    </row>
    <row r="471" spans="1:7" x14ac:dyDescent="0.25">
      <c r="A471" s="2">
        <v>470</v>
      </c>
      <c r="B471" s="3">
        <v>1000</v>
      </c>
      <c r="C471" s="5" t="s">
        <v>1180</v>
      </c>
      <c r="D471" s="5" t="s">
        <v>1152</v>
      </c>
      <c r="E471" s="5" t="s">
        <v>63</v>
      </c>
      <c r="F471" s="3" t="s">
        <v>1181</v>
      </c>
      <c r="G471" s="3" t="str">
        <f>"00448210"</f>
        <v>00448210</v>
      </c>
    </row>
    <row r="472" spans="1:7" x14ac:dyDescent="0.25">
      <c r="A472" s="2">
        <v>471</v>
      </c>
      <c r="B472" s="3">
        <v>8579</v>
      </c>
      <c r="C472" s="5" t="s">
        <v>3359</v>
      </c>
      <c r="D472" s="5" t="s">
        <v>3358</v>
      </c>
      <c r="E472" s="5" t="s">
        <v>129</v>
      </c>
      <c r="F472" s="3" t="s">
        <v>3360</v>
      </c>
      <c r="G472" s="3" t="str">
        <f>"00459197"</f>
        <v>00459197</v>
      </c>
    </row>
    <row r="473" spans="1:7" x14ac:dyDescent="0.25">
      <c r="A473" s="2">
        <v>472</v>
      </c>
      <c r="B473" s="3">
        <v>401</v>
      </c>
      <c r="C473" s="5" t="s">
        <v>3161</v>
      </c>
      <c r="D473" s="5" t="s">
        <v>3160</v>
      </c>
      <c r="E473" s="5" t="s">
        <v>667</v>
      </c>
      <c r="F473" s="3" t="s">
        <v>3162</v>
      </c>
      <c r="G473" s="3" t="str">
        <f>"01008949"</f>
        <v>01008949</v>
      </c>
    </row>
    <row r="474" spans="1:7" x14ac:dyDescent="0.25">
      <c r="A474" s="2">
        <v>473</v>
      </c>
      <c r="B474" s="3">
        <v>3469</v>
      </c>
      <c r="C474" s="5" t="s">
        <v>679</v>
      </c>
      <c r="D474" s="5" t="s">
        <v>87</v>
      </c>
      <c r="E474" s="5" t="s">
        <v>32</v>
      </c>
      <c r="F474" s="3" t="s">
        <v>680</v>
      </c>
      <c r="G474" s="3" t="str">
        <f>"00983400"</f>
        <v>00983400</v>
      </c>
    </row>
    <row r="475" spans="1:7" x14ac:dyDescent="0.25">
      <c r="A475" s="2">
        <v>474</v>
      </c>
      <c r="B475" s="3">
        <v>1567</v>
      </c>
      <c r="C475" s="5" t="s">
        <v>679</v>
      </c>
      <c r="D475" s="5" t="s">
        <v>44</v>
      </c>
      <c r="E475" s="5" t="s">
        <v>11</v>
      </c>
      <c r="F475" s="3" t="s">
        <v>2740</v>
      </c>
      <c r="G475" s="3" t="str">
        <f>"01011762"</f>
        <v>01011762</v>
      </c>
    </row>
    <row r="476" spans="1:7" x14ac:dyDescent="0.25">
      <c r="A476" s="2">
        <v>475</v>
      </c>
      <c r="B476" s="3">
        <v>8178</v>
      </c>
      <c r="C476" s="5" t="s">
        <v>71</v>
      </c>
      <c r="D476" s="5" t="s">
        <v>70</v>
      </c>
      <c r="E476" s="5" t="s">
        <v>14</v>
      </c>
      <c r="F476" s="3" t="s">
        <v>72</v>
      </c>
      <c r="G476" s="3" t="str">
        <f>"00970023"</f>
        <v>00970023</v>
      </c>
    </row>
    <row r="477" spans="1:7" x14ac:dyDescent="0.25">
      <c r="A477" s="2">
        <v>476</v>
      </c>
      <c r="B477" s="3">
        <v>3059</v>
      </c>
      <c r="C477" s="5" t="s">
        <v>533</v>
      </c>
      <c r="D477" s="5" t="s">
        <v>532</v>
      </c>
      <c r="E477" s="5" t="s">
        <v>1795</v>
      </c>
      <c r="F477" s="3">
        <v>288813011</v>
      </c>
      <c r="G477" s="3" t="str">
        <f>"00986932"</f>
        <v>00986932</v>
      </c>
    </row>
    <row r="478" spans="1:7" x14ac:dyDescent="0.25">
      <c r="A478" s="2">
        <v>477</v>
      </c>
      <c r="B478" s="3">
        <v>4515</v>
      </c>
      <c r="C478" s="5" t="s">
        <v>447</v>
      </c>
      <c r="D478" s="5" t="s">
        <v>87</v>
      </c>
      <c r="E478" s="5" t="s">
        <v>44</v>
      </c>
      <c r="F478" s="3" t="s">
        <v>448</v>
      </c>
      <c r="G478" s="3" t="str">
        <f>"201406011499"</f>
        <v>201406011499</v>
      </c>
    </row>
    <row r="479" spans="1:7" x14ac:dyDescent="0.25">
      <c r="A479" s="2">
        <v>478</v>
      </c>
      <c r="B479" s="3">
        <v>12645</v>
      </c>
      <c r="C479" s="5" t="s">
        <v>2573</v>
      </c>
      <c r="D479" s="5" t="s">
        <v>5</v>
      </c>
      <c r="E479" s="5" t="s">
        <v>14</v>
      </c>
      <c r="F479" s="3">
        <v>2012545</v>
      </c>
      <c r="G479" s="3" t="str">
        <f>"01014471"</f>
        <v>01014471</v>
      </c>
    </row>
    <row r="480" spans="1:7" x14ac:dyDescent="0.25">
      <c r="A480" s="2">
        <v>479</v>
      </c>
      <c r="B480" s="3">
        <v>7965</v>
      </c>
      <c r="C480" s="5" t="s">
        <v>4212</v>
      </c>
      <c r="D480" s="5" t="s">
        <v>4211</v>
      </c>
      <c r="E480" s="5" t="s">
        <v>1023</v>
      </c>
      <c r="F480" s="3" t="s">
        <v>4213</v>
      </c>
      <c r="G480" s="3" t="str">
        <f>"01016399"</f>
        <v>01016399</v>
      </c>
    </row>
    <row r="481" spans="1:7" x14ac:dyDescent="0.25">
      <c r="A481" s="2">
        <v>480</v>
      </c>
      <c r="B481" s="3">
        <v>12811</v>
      </c>
      <c r="C481" s="5" t="s">
        <v>2332</v>
      </c>
      <c r="D481" s="5" t="s">
        <v>94</v>
      </c>
      <c r="E481" s="5" t="s">
        <v>1764</v>
      </c>
      <c r="F481" s="3">
        <v>2718545</v>
      </c>
      <c r="G481" s="3" t="str">
        <f>"00987043"</f>
        <v>00987043</v>
      </c>
    </row>
    <row r="482" spans="1:7" x14ac:dyDescent="0.25">
      <c r="A482" s="2">
        <v>481</v>
      </c>
      <c r="B482" s="3">
        <v>7943</v>
      </c>
      <c r="C482" s="5" t="s">
        <v>4148</v>
      </c>
      <c r="D482" s="5" t="s">
        <v>2659</v>
      </c>
      <c r="E482" s="5" t="s">
        <v>44</v>
      </c>
      <c r="F482" s="3" t="s">
        <v>4149</v>
      </c>
      <c r="G482" s="3" t="str">
        <f>"00875372"</f>
        <v>00875372</v>
      </c>
    </row>
    <row r="483" spans="1:7" x14ac:dyDescent="0.25">
      <c r="A483" s="2">
        <v>482</v>
      </c>
      <c r="B483" s="3">
        <v>1280</v>
      </c>
      <c r="C483" s="5" t="s">
        <v>466</v>
      </c>
      <c r="D483" s="5" t="s">
        <v>465</v>
      </c>
      <c r="E483" s="5" t="s">
        <v>87</v>
      </c>
      <c r="F483" s="3" t="s">
        <v>467</v>
      </c>
      <c r="G483" s="3" t="str">
        <f>"201409004013"</f>
        <v>201409004013</v>
      </c>
    </row>
    <row r="484" spans="1:7" x14ac:dyDescent="0.25">
      <c r="A484" s="2">
        <v>483</v>
      </c>
      <c r="B484" s="3">
        <v>11874</v>
      </c>
      <c r="C484" s="5" t="s">
        <v>859</v>
      </c>
      <c r="D484" s="5" t="s">
        <v>41</v>
      </c>
      <c r="E484" s="5" t="s">
        <v>4857</v>
      </c>
      <c r="F484" s="3" t="s">
        <v>2519</v>
      </c>
      <c r="G484" s="3" t="str">
        <f>"01012642"</f>
        <v>01012642</v>
      </c>
    </row>
    <row r="485" spans="1:7" x14ac:dyDescent="0.25">
      <c r="A485" s="2">
        <v>484</v>
      </c>
      <c r="B485" s="3">
        <v>7286</v>
      </c>
      <c r="C485" s="5" t="s">
        <v>859</v>
      </c>
      <c r="D485" s="5" t="s">
        <v>5</v>
      </c>
      <c r="E485" s="5" t="s">
        <v>609</v>
      </c>
      <c r="F485" s="3" t="s">
        <v>4503</v>
      </c>
      <c r="G485" s="3" t="str">
        <f>"00853248"</f>
        <v>00853248</v>
      </c>
    </row>
    <row r="486" spans="1:7" x14ac:dyDescent="0.25">
      <c r="A486" s="2">
        <v>485</v>
      </c>
      <c r="B486" s="3">
        <v>743</v>
      </c>
      <c r="C486" s="5" t="s">
        <v>859</v>
      </c>
      <c r="D486" s="5" t="s">
        <v>858</v>
      </c>
      <c r="E486" s="5" t="s">
        <v>2204</v>
      </c>
      <c r="F486" s="3" t="s">
        <v>860</v>
      </c>
      <c r="G486" s="3" t="str">
        <f>"00983214"</f>
        <v>00983214</v>
      </c>
    </row>
    <row r="487" spans="1:7" x14ac:dyDescent="0.25">
      <c r="A487" s="2">
        <v>486</v>
      </c>
      <c r="B487" s="3">
        <v>10531</v>
      </c>
      <c r="C487" s="5" t="s">
        <v>254</v>
      </c>
      <c r="D487" s="5" t="s">
        <v>198</v>
      </c>
      <c r="E487" s="5" t="s">
        <v>14</v>
      </c>
      <c r="F487" s="3" t="s">
        <v>255</v>
      </c>
      <c r="G487" s="3" t="str">
        <f>"00109863"</f>
        <v>00109863</v>
      </c>
    </row>
    <row r="488" spans="1:7" x14ac:dyDescent="0.25">
      <c r="A488" s="2">
        <v>487</v>
      </c>
      <c r="B488" s="3">
        <v>9894</v>
      </c>
      <c r="C488" s="5" t="s">
        <v>4127</v>
      </c>
      <c r="D488" s="5" t="s">
        <v>113</v>
      </c>
      <c r="E488" s="5" t="s">
        <v>52</v>
      </c>
      <c r="F488" s="3" t="s">
        <v>4128</v>
      </c>
      <c r="G488" s="3" t="str">
        <f>"00370846"</f>
        <v>00370846</v>
      </c>
    </row>
    <row r="489" spans="1:7" x14ac:dyDescent="0.25">
      <c r="A489" s="2">
        <v>488</v>
      </c>
      <c r="B489" s="3">
        <v>6895</v>
      </c>
      <c r="C489" s="5" t="s">
        <v>3356</v>
      </c>
      <c r="D489" s="5" t="s">
        <v>900</v>
      </c>
      <c r="E489" s="5" t="s">
        <v>11</v>
      </c>
      <c r="F489" s="3" t="s">
        <v>3357</v>
      </c>
      <c r="G489" s="3" t="str">
        <f>"201506001395"</f>
        <v>201506001395</v>
      </c>
    </row>
    <row r="490" spans="1:7" x14ac:dyDescent="0.25">
      <c r="A490" s="2">
        <v>489</v>
      </c>
      <c r="B490" s="3">
        <v>7132</v>
      </c>
      <c r="C490" s="5" t="s">
        <v>3101</v>
      </c>
      <c r="D490" s="5" t="s">
        <v>5</v>
      </c>
      <c r="E490" s="5" t="s">
        <v>82</v>
      </c>
      <c r="F490" s="3" t="s">
        <v>3102</v>
      </c>
      <c r="G490" s="3" t="str">
        <f>"00992299"</f>
        <v>00992299</v>
      </c>
    </row>
    <row r="491" spans="1:7" x14ac:dyDescent="0.25">
      <c r="A491" s="2">
        <v>490</v>
      </c>
      <c r="B491" s="3">
        <v>2168</v>
      </c>
      <c r="C491" s="5" t="s">
        <v>1450</v>
      </c>
      <c r="D491" s="5" t="s">
        <v>382</v>
      </c>
      <c r="E491" s="5" t="s">
        <v>44</v>
      </c>
      <c r="F491" s="3" t="s">
        <v>1451</v>
      </c>
      <c r="G491" s="3" t="str">
        <f>"01014865"</f>
        <v>01014865</v>
      </c>
    </row>
    <row r="492" spans="1:7" x14ac:dyDescent="0.25">
      <c r="A492" s="2">
        <v>491</v>
      </c>
      <c r="B492" s="3">
        <v>10894</v>
      </c>
      <c r="C492" s="5" t="s">
        <v>1450</v>
      </c>
      <c r="D492" s="5" t="s">
        <v>129</v>
      </c>
      <c r="E492" s="5" t="s">
        <v>5</v>
      </c>
      <c r="F492" s="3" t="s">
        <v>3137</v>
      </c>
      <c r="G492" s="3" t="str">
        <f>"01011348"</f>
        <v>01011348</v>
      </c>
    </row>
    <row r="493" spans="1:7" x14ac:dyDescent="0.25">
      <c r="A493" s="2">
        <v>492</v>
      </c>
      <c r="B493" s="3">
        <v>6483</v>
      </c>
      <c r="C493" s="5" t="s">
        <v>2748</v>
      </c>
      <c r="D493" s="5" t="s">
        <v>2747</v>
      </c>
      <c r="E493" s="5" t="s">
        <v>87</v>
      </c>
      <c r="F493" s="3" t="s">
        <v>2749</v>
      </c>
      <c r="G493" s="3" t="str">
        <f>"00796860"</f>
        <v>00796860</v>
      </c>
    </row>
    <row r="494" spans="1:7" x14ac:dyDescent="0.25">
      <c r="A494" s="2">
        <v>493</v>
      </c>
      <c r="B494" s="3">
        <v>5821</v>
      </c>
      <c r="C494" s="5" t="s">
        <v>3659</v>
      </c>
      <c r="D494" s="5" t="s">
        <v>99</v>
      </c>
      <c r="E494" s="5" t="s">
        <v>87</v>
      </c>
      <c r="F494" s="3" t="s">
        <v>3660</v>
      </c>
      <c r="G494" s="3" t="str">
        <f>"01010135"</f>
        <v>01010135</v>
      </c>
    </row>
    <row r="495" spans="1:7" x14ac:dyDescent="0.25">
      <c r="A495" s="2">
        <v>494</v>
      </c>
      <c r="B495" s="3">
        <v>12564</v>
      </c>
      <c r="C495" s="5" t="s">
        <v>2816</v>
      </c>
      <c r="D495" s="5" t="s">
        <v>14</v>
      </c>
      <c r="E495" s="5" t="s">
        <v>4865</v>
      </c>
      <c r="F495" s="3" t="s">
        <v>2817</v>
      </c>
      <c r="G495" s="3" t="str">
        <f>"01011335"</f>
        <v>01011335</v>
      </c>
    </row>
    <row r="496" spans="1:7" x14ac:dyDescent="0.25">
      <c r="A496" s="2">
        <v>495</v>
      </c>
      <c r="B496" s="3">
        <v>11647</v>
      </c>
      <c r="C496" s="5" t="s">
        <v>3921</v>
      </c>
      <c r="D496" s="5" t="s">
        <v>70</v>
      </c>
      <c r="E496" s="5" t="s">
        <v>3583</v>
      </c>
      <c r="F496" s="3" t="s">
        <v>3922</v>
      </c>
      <c r="G496" s="3" t="str">
        <f>"00967638"</f>
        <v>00967638</v>
      </c>
    </row>
    <row r="497" spans="1:7" x14ac:dyDescent="0.25">
      <c r="A497" s="2">
        <v>496</v>
      </c>
      <c r="B497" s="3">
        <v>1937</v>
      </c>
      <c r="C497" s="5" t="s">
        <v>4103</v>
      </c>
      <c r="D497" s="5" t="s">
        <v>1798</v>
      </c>
      <c r="E497" s="5" t="s">
        <v>14</v>
      </c>
      <c r="F497" s="3" t="s">
        <v>4104</v>
      </c>
      <c r="G497" s="3" t="str">
        <f>"00892786"</f>
        <v>00892786</v>
      </c>
    </row>
    <row r="498" spans="1:7" x14ac:dyDescent="0.25">
      <c r="A498" s="2">
        <v>497</v>
      </c>
      <c r="B498" s="3">
        <v>1129</v>
      </c>
      <c r="C498" s="5" t="s">
        <v>6</v>
      </c>
      <c r="D498" s="5" t="s">
        <v>5</v>
      </c>
      <c r="E498" s="5" t="s">
        <v>87</v>
      </c>
      <c r="F498" s="3" t="s">
        <v>7</v>
      </c>
      <c r="G498" s="3" t="str">
        <f>"00983196"</f>
        <v>00983196</v>
      </c>
    </row>
    <row r="499" spans="1:7" x14ac:dyDescent="0.25">
      <c r="A499" s="2">
        <v>498</v>
      </c>
      <c r="B499" s="3">
        <v>11562</v>
      </c>
      <c r="C499" s="5" t="s">
        <v>3553</v>
      </c>
      <c r="D499" s="5" t="s">
        <v>366</v>
      </c>
      <c r="E499" s="5" t="s">
        <v>284</v>
      </c>
      <c r="F499" s="3" t="s">
        <v>4701</v>
      </c>
      <c r="G499" s="3" t="str">
        <f>"201512000155"</f>
        <v>201512000155</v>
      </c>
    </row>
    <row r="500" spans="1:7" x14ac:dyDescent="0.25">
      <c r="A500" s="2">
        <v>499</v>
      </c>
      <c r="B500" s="3">
        <v>2403</v>
      </c>
      <c r="C500" s="5" t="s">
        <v>3553</v>
      </c>
      <c r="D500" s="5" t="s">
        <v>3552</v>
      </c>
      <c r="E500" s="5" t="s">
        <v>52</v>
      </c>
      <c r="F500" s="3" t="s">
        <v>3554</v>
      </c>
      <c r="G500" s="3" t="str">
        <f>"00982608"</f>
        <v>00982608</v>
      </c>
    </row>
    <row r="501" spans="1:7" x14ac:dyDescent="0.25">
      <c r="A501" s="2">
        <v>500</v>
      </c>
      <c r="B501" s="3">
        <v>2580</v>
      </c>
      <c r="C501" s="5" t="s">
        <v>1823</v>
      </c>
      <c r="D501" s="5" t="s">
        <v>1822</v>
      </c>
      <c r="E501" s="5" t="s">
        <v>32</v>
      </c>
      <c r="F501" s="3" t="s">
        <v>1824</v>
      </c>
      <c r="G501" s="3" t="str">
        <f>"01016999"</f>
        <v>01016999</v>
      </c>
    </row>
    <row r="502" spans="1:7" x14ac:dyDescent="0.25">
      <c r="A502" s="2">
        <v>501</v>
      </c>
      <c r="B502" s="3">
        <v>4883</v>
      </c>
      <c r="C502" s="5" t="s">
        <v>518</v>
      </c>
      <c r="D502" s="5" t="s">
        <v>517</v>
      </c>
      <c r="E502" s="5" t="s">
        <v>4794</v>
      </c>
      <c r="F502" s="3" t="s">
        <v>519</v>
      </c>
      <c r="G502" s="3" t="str">
        <f>"00292148"</f>
        <v>00292148</v>
      </c>
    </row>
    <row r="503" spans="1:7" x14ac:dyDescent="0.25">
      <c r="A503" s="2">
        <v>502</v>
      </c>
      <c r="B503" s="3">
        <v>7314</v>
      </c>
      <c r="C503" s="5" t="s">
        <v>4209</v>
      </c>
      <c r="D503" s="5" t="s">
        <v>4208</v>
      </c>
      <c r="E503" s="5" t="s">
        <v>52</v>
      </c>
      <c r="F503" s="3" t="s">
        <v>4210</v>
      </c>
      <c r="G503" s="3" t="str">
        <f>"00833200"</f>
        <v>00833200</v>
      </c>
    </row>
    <row r="504" spans="1:7" x14ac:dyDescent="0.25">
      <c r="A504" s="2">
        <v>503</v>
      </c>
      <c r="B504" s="3">
        <v>3172</v>
      </c>
      <c r="C504" s="5" t="s">
        <v>2949</v>
      </c>
      <c r="D504" s="5" t="s">
        <v>1199</v>
      </c>
      <c r="E504" s="5" t="s">
        <v>1172</v>
      </c>
      <c r="F504" s="3" t="s">
        <v>2950</v>
      </c>
      <c r="G504" s="3" t="str">
        <f>"00982943"</f>
        <v>00982943</v>
      </c>
    </row>
    <row r="505" spans="1:7" x14ac:dyDescent="0.25">
      <c r="A505" s="2">
        <v>504</v>
      </c>
      <c r="B505" s="3">
        <v>9525</v>
      </c>
      <c r="C505" s="5" t="s">
        <v>4437</v>
      </c>
      <c r="D505" s="5" t="s">
        <v>490</v>
      </c>
      <c r="E505" s="5" t="s">
        <v>11</v>
      </c>
      <c r="F505" s="3" t="s">
        <v>4438</v>
      </c>
      <c r="G505" s="3" t="str">
        <f>"00452789"</f>
        <v>00452789</v>
      </c>
    </row>
    <row r="506" spans="1:7" x14ac:dyDescent="0.25">
      <c r="A506" s="2">
        <v>505</v>
      </c>
      <c r="B506" s="3">
        <v>5894</v>
      </c>
      <c r="C506" s="5" t="s">
        <v>797</v>
      </c>
      <c r="D506" s="5" t="s">
        <v>129</v>
      </c>
      <c r="E506" s="5" t="s">
        <v>705</v>
      </c>
      <c r="F506" s="3" t="s">
        <v>798</v>
      </c>
      <c r="G506" s="3" t="str">
        <f>"01011048"</f>
        <v>01011048</v>
      </c>
    </row>
    <row r="507" spans="1:7" x14ac:dyDescent="0.25">
      <c r="A507" s="2">
        <v>506</v>
      </c>
      <c r="B507" s="3">
        <v>3107</v>
      </c>
      <c r="C507" s="5" t="s">
        <v>2161</v>
      </c>
      <c r="D507" s="5" t="s">
        <v>107</v>
      </c>
      <c r="E507" s="5" t="s">
        <v>87</v>
      </c>
      <c r="F507" s="3" t="s">
        <v>2162</v>
      </c>
      <c r="G507" s="3" t="str">
        <f>"00818972"</f>
        <v>00818972</v>
      </c>
    </row>
    <row r="508" spans="1:7" x14ac:dyDescent="0.25">
      <c r="A508" s="2">
        <v>507</v>
      </c>
      <c r="B508" s="3">
        <v>12830</v>
      </c>
      <c r="C508" s="5" t="s">
        <v>1213</v>
      </c>
      <c r="D508" s="5" t="s">
        <v>1212</v>
      </c>
      <c r="E508" s="5" t="s">
        <v>4815</v>
      </c>
      <c r="F508" s="3" t="s">
        <v>1214</v>
      </c>
      <c r="G508" s="3" t="str">
        <f>"00488649"</f>
        <v>00488649</v>
      </c>
    </row>
    <row r="509" spans="1:7" x14ac:dyDescent="0.25">
      <c r="A509" s="2">
        <v>508</v>
      </c>
      <c r="B509" s="3">
        <v>2891</v>
      </c>
      <c r="C509" s="5" t="s">
        <v>1793</v>
      </c>
      <c r="D509" s="5" t="s">
        <v>5</v>
      </c>
      <c r="E509" s="5" t="s">
        <v>14</v>
      </c>
      <c r="F509" s="3" t="s">
        <v>1794</v>
      </c>
      <c r="G509" s="3" t="str">
        <f>"00907610"</f>
        <v>00907610</v>
      </c>
    </row>
    <row r="510" spans="1:7" x14ac:dyDescent="0.25">
      <c r="A510" s="2">
        <v>509</v>
      </c>
      <c r="B510" s="3">
        <v>10597</v>
      </c>
      <c r="C510" s="5" t="s">
        <v>504</v>
      </c>
      <c r="D510" s="5" t="s">
        <v>503</v>
      </c>
      <c r="E510" s="5" t="s">
        <v>4793</v>
      </c>
      <c r="F510" s="3" t="s">
        <v>505</v>
      </c>
      <c r="G510" s="3" t="str">
        <f>"00901930"</f>
        <v>00901930</v>
      </c>
    </row>
    <row r="511" spans="1:7" x14ac:dyDescent="0.25">
      <c r="A511" s="2">
        <v>510</v>
      </c>
      <c r="B511" s="3">
        <v>6404</v>
      </c>
      <c r="C511" s="5" t="s">
        <v>1850</v>
      </c>
      <c r="D511" s="5" t="s">
        <v>284</v>
      </c>
      <c r="E511" s="5" t="s">
        <v>1139</v>
      </c>
      <c r="F511" s="3" t="s">
        <v>1851</v>
      </c>
      <c r="G511" s="3" t="str">
        <f>"00986550"</f>
        <v>00986550</v>
      </c>
    </row>
    <row r="512" spans="1:7" x14ac:dyDescent="0.25">
      <c r="A512" s="2">
        <v>511</v>
      </c>
      <c r="B512" s="3">
        <v>1705</v>
      </c>
      <c r="C512" s="5" t="s">
        <v>2200</v>
      </c>
      <c r="D512" s="5" t="s">
        <v>284</v>
      </c>
      <c r="E512" s="5" t="s">
        <v>87</v>
      </c>
      <c r="F512" s="3" t="s">
        <v>2201</v>
      </c>
      <c r="G512" s="3" t="str">
        <f>"00448561"</f>
        <v>00448561</v>
      </c>
    </row>
    <row r="513" spans="1:7" x14ac:dyDescent="0.25">
      <c r="A513" s="2">
        <v>512</v>
      </c>
      <c r="B513" s="3">
        <v>5593</v>
      </c>
      <c r="C513" s="5" t="s">
        <v>3285</v>
      </c>
      <c r="D513" s="5" t="s">
        <v>830</v>
      </c>
      <c r="E513" s="5" t="s">
        <v>44</v>
      </c>
      <c r="F513" s="3" t="s">
        <v>3286</v>
      </c>
      <c r="G513" s="3" t="str">
        <f>"01008410"</f>
        <v>01008410</v>
      </c>
    </row>
    <row r="514" spans="1:7" x14ac:dyDescent="0.25">
      <c r="A514" s="2">
        <v>513</v>
      </c>
      <c r="B514" s="3">
        <v>1945</v>
      </c>
      <c r="C514" s="5" t="s">
        <v>3285</v>
      </c>
      <c r="D514" s="5" t="s">
        <v>773</v>
      </c>
      <c r="E514" s="5" t="s">
        <v>87</v>
      </c>
      <c r="F514" s="3" t="s">
        <v>3977</v>
      </c>
      <c r="G514" s="3" t="str">
        <f>"00447916"</f>
        <v>00447916</v>
      </c>
    </row>
    <row r="515" spans="1:7" x14ac:dyDescent="0.25">
      <c r="A515" s="2">
        <v>514</v>
      </c>
      <c r="B515" s="3">
        <v>7312</v>
      </c>
      <c r="C515" s="5" t="s">
        <v>3006</v>
      </c>
      <c r="D515" s="5" t="s">
        <v>3005</v>
      </c>
      <c r="E515" s="5" t="s">
        <v>5</v>
      </c>
      <c r="F515" s="3" t="s">
        <v>3007</v>
      </c>
      <c r="G515" s="3" t="str">
        <f>"00983819"</f>
        <v>00983819</v>
      </c>
    </row>
    <row r="516" spans="1:7" x14ac:dyDescent="0.25">
      <c r="A516" s="2">
        <v>515</v>
      </c>
      <c r="B516" s="3">
        <v>12701</v>
      </c>
      <c r="C516" s="5" t="s">
        <v>3289</v>
      </c>
      <c r="D516" s="5" t="s">
        <v>773</v>
      </c>
      <c r="E516" s="5" t="s">
        <v>214</v>
      </c>
      <c r="F516" s="3" t="s">
        <v>3290</v>
      </c>
      <c r="G516" s="3" t="str">
        <f>"201511043635"</f>
        <v>201511043635</v>
      </c>
    </row>
    <row r="517" spans="1:7" x14ac:dyDescent="0.25">
      <c r="A517" s="2">
        <v>516</v>
      </c>
      <c r="B517" s="3">
        <v>1952</v>
      </c>
      <c r="C517" s="5" t="s">
        <v>1989</v>
      </c>
      <c r="D517" s="5" t="s">
        <v>545</v>
      </c>
      <c r="E517" s="5" t="s">
        <v>214</v>
      </c>
      <c r="F517" s="3" t="s">
        <v>1990</v>
      </c>
      <c r="G517" s="3" t="str">
        <f>"00778316"</f>
        <v>00778316</v>
      </c>
    </row>
    <row r="518" spans="1:7" x14ac:dyDescent="0.25">
      <c r="A518" s="2">
        <v>517</v>
      </c>
      <c r="B518" s="3">
        <v>10563</v>
      </c>
      <c r="C518" s="5" t="s">
        <v>2038</v>
      </c>
      <c r="D518" s="5" t="s">
        <v>44</v>
      </c>
      <c r="E518" s="5" t="s">
        <v>375</v>
      </c>
      <c r="F518" s="3" t="s">
        <v>2039</v>
      </c>
      <c r="G518" s="3" t="str">
        <f>"00985275"</f>
        <v>00985275</v>
      </c>
    </row>
    <row r="519" spans="1:7" x14ac:dyDescent="0.25">
      <c r="A519" s="2">
        <v>518</v>
      </c>
      <c r="B519" s="3">
        <v>9590</v>
      </c>
      <c r="C519" s="5" t="s">
        <v>1330</v>
      </c>
      <c r="D519" s="5" t="s">
        <v>162</v>
      </c>
      <c r="E519" s="5" t="s">
        <v>135</v>
      </c>
      <c r="F519" s="3" t="s">
        <v>1331</v>
      </c>
      <c r="G519" s="3" t="str">
        <f>"00221502"</f>
        <v>00221502</v>
      </c>
    </row>
    <row r="520" spans="1:7" x14ac:dyDescent="0.25">
      <c r="A520" s="2">
        <v>519</v>
      </c>
      <c r="B520" s="3">
        <v>381</v>
      </c>
      <c r="C520" s="5" t="s">
        <v>2196</v>
      </c>
      <c r="D520" s="5" t="s">
        <v>635</v>
      </c>
      <c r="E520" s="5" t="s">
        <v>1318</v>
      </c>
      <c r="F520" s="3" t="s">
        <v>2197</v>
      </c>
      <c r="G520" s="3" t="str">
        <f>"00975441"</f>
        <v>00975441</v>
      </c>
    </row>
    <row r="521" spans="1:7" x14ac:dyDescent="0.25">
      <c r="A521" s="2">
        <v>520</v>
      </c>
      <c r="B521" s="3">
        <v>12055</v>
      </c>
      <c r="C521" s="5" t="s">
        <v>2054</v>
      </c>
      <c r="D521" s="5" t="s">
        <v>372</v>
      </c>
      <c r="E521" s="5" t="s">
        <v>14</v>
      </c>
      <c r="F521" s="3" t="s">
        <v>2055</v>
      </c>
      <c r="G521" s="3" t="str">
        <f>"00970422"</f>
        <v>00970422</v>
      </c>
    </row>
    <row r="522" spans="1:7" x14ac:dyDescent="0.25">
      <c r="A522" s="2">
        <v>521</v>
      </c>
      <c r="B522" s="3">
        <v>10547</v>
      </c>
      <c r="C522" s="5" t="s">
        <v>2144</v>
      </c>
      <c r="D522" s="5" t="s">
        <v>619</v>
      </c>
      <c r="E522" s="5" t="s">
        <v>11</v>
      </c>
      <c r="F522" s="3" t="s">
        <v>2145</v>
      </c>
      <c r="G522" s="3" t="str">
        <f>"00775813"</f>
        <v>00775813</v>
      </c>
    </row>
    <row r="523" spans="1:7" x14ac:dyDescent="0.25">
      <c r="A523" s="2">
        <v>522</v>
      </c>
      <c r="B523" s="3">
        <v>2279</v>
      </c>
      <c r="C523" s="5" t="s">
        <v>1053</v>
      </c>
      <c r="D523" s="5" t="s">
        <v>307</v>
      </c>
      <c r="E523" s="5" t="s">
        <v>52</v>
      </c>
      <c r="F523" s="3" t="s">
        <v>1054</v>
      </c>
      <c r="G523" s="3" t="str">
        <f>"201511035806"</f>
        <v>201511035806</v>
      </c>
    </row>
    <row r="524" spans="1:7" x14ac:dyDescent="0.25">
      <c r="A524" s="2">
        <v>523</v>
      </c>
      <c r="B524" s="3">
        <v>398</v>
      </c>
      <c r="C524" s="5" t="s">
        <v>1657</v>
      </c>
      <c r="D524" s="5" t="s">
        <v>87</v>
      </c>
      <c r="E524" s="5" t="s">
        <v>44</v>
      </c>
      <c r="F524" s="3" t="s">
        <v>1658</v>
      </c>
      <c r="G524" s="3" t="str">
        <f>"00982910"</f>
        <v>00982910</v>
      </c>
    </row>
    <row r="525" spans="1:7" x14ac:dyDescent="0.25">
      <c r="A525" s="2">
        <v>524</v>
      </c>
      <c r="B525" s="3">
        <v>9578</v>
      </c>
      <c r="C525" s="5" t="s">
        <v>1657</v>
      </c>
      <c r="D525" s="5" t="s">
        <v>5</v>
      </c>
      <c r="E525" s="5" t="s">
        <v>2608</v>
      </c>
      <c r="F525" s="3" t="s">
        <v>1836</v>
      </c>
      <c r="G525" s="3" t="str">
        <f>"00816931"</f>
        <v>00816931</v>
      </c>
    </row>
    <row r="526" spans="1:7" x14ac:dyDescent="0.25">
      <c r="A526" s="2">
        <v>525</v>
      </c>
      <c r="B526" s="3">
        <v>3859</v>
      </c>
      <c r="C526" s="5" t="s">
        <v>1452</v>
      </c>
      <c r="D526" s="5" t="s">
        <v>416</v>
      </c>
      <c r="E526" s="5" t="s">
        <v>11</v>
      </c>
      <c r="F526" s="3" t="s">
        <v>1453</v>
      </c>
      <c r="G526" s="3" t="str">
        <f>"01013433"</f>
        <v>01013433</v>
      </c>
    </row>
    <row r="527" spans="1:7" x14ac:dyDescent="0.25">
      <c r="A527" s="2">
        <v>526</v>
      </c>
      <c r="B527" s="3">
        <v>5867</v>
      </c>
      <c r="C527" s="5" t="s">
        <v>2778</v>
      </c>
      <c r="D527" s="5" t="s">
        <v>14</v>
      </c>
      <c r="E527" s="5" t="s">
        <v>4881</v>
      </c>
      <c r="F527" s="3" t="s">
        <v>3811</v>
      </c>
      <c r="G527" s="3" t="str">
        <f>"00984627"</f>
        <v>00984627</v>
      </c>
    </row>
    <row r="528" spans="1:7" x14ac:dyDescent="0.25">
      <c r="A528" s="2">
        <v>527</v>
      </c>
      <c r="B528" s="3">
        <v>8204</v>
      </c>
      <c r="C528" s="5" t="s">
        <v>2778</v>
      </c>
      <c r="D528" s="5" t="s">
        <v>63</v>
      </c>
      <c r="E528" s="5" t="s">
        <v>52</v>
      </c>
      <c r="F528" s="3" t="s">
        <v>2779</v>
      </c>
      <c r="G528" s="3" t="str">
        <f>"01016168"</f>
        <v>01016168</v>
      </c>
    </row>
    <row r="529" spans="1:7" x14ac:dyDescent="0.25">
      <c r="A529" s="2">
        <v>528</v>
      </c>
      <c r="B529" s="3">
        <v>1604</v>
      </c>
      <c r="C529" s="5" t="s">
        <v>3266</v>
      </c>
      <c r="D529" s="5" t="s">
        <v>44</v>
      </c>
      <c r="E529" s="5" t="s">
        <v>52</v>
      </c>
      <c r="F529" s="3" t="s">
        <v>3267</v>
      </c>
      <c r="G529" s="3" t="str">
        <f>"00610561"</f>
        <v>00610561</v>
      </c>
    </row>
    <row r="530" spans="1:7" x14ac:dyDescent="0.25">
      <c r="A530" s="2">
        <v>529</v>
      </c>
      <c r="B530" s="3">
        <v>11863</v>
      </c>
      <c r="C530" s="5" t="s">
        <v>4059</v>
      </c>
      <c r="D530" s="5" t="s">
        <v>4058</v>
      </c>
      <c r="E530" s="5" t="s">
        <v>2406</v>
      </c>
      <c r="F530" s="3" t="s">
        <v>4060</v>
      </c>
      <c r="G530" s="3" t="str">
        <f>"00691177"</f>
        <v>00691177</v>
      </c>
    </row>
    <row r="531" spans="1:7" x14ac:dyDescent="0.25">
      <c r="A531" s="2">
        <v>530</v>
      </c>
      <c r="B531" s="3">
        <v>11196</v>
      </c>
      <c r="C531" s="5" t="s">
        <v>811</v>
      </c>
      <c r="D531" s="5" t="s">
        <v>810</v>
      </c>
      <c r="E531" s="5" t="s">
        <v>2659</v>
      </c>
      <c r="F531" s="3" t="s">
        <v>812</v>
      </c>
      <c r="G531" s="3" t="str">
        <f>"00551460"</f>
        <v>00551460</v>
      </c>
    </row>
    <row r="532" spans="1:7" x14ac:dyDescent="0.25">
      <c r="A532" s="2">
        <v>531</v>
      </c>
      <c r="B532" s="3">
        <v>1683</v>
      </c>
      <c r="C532" s="5" t="s">
        <v>2530</v>
      </c>
      <c r="D532" s="5" t="s">
        <v>1960</v>
      </c>
      <c r="E532" s="5" t="s">
        <v>44</v>
      </c>
      <c r="F532" s="3" t="s">
        <v>2531</v>
      </c>
      <c r="G532" s="3" t="str">
        <f>"00493762"</f>
        <v>00493762</v>
      </c>
    </row>
    <row r="533" spans="1:7" x14ac:dyDescent="0.25">
      <c r="A533" s="2">
        <v>532</v>
      </c>
      <c r="B533" s="3">
        <v>10783</v>
      </c>
      <c r="C533" s="5" t="s">
        <v>1945</v>
      </c>
      <c r="D533" s="5" t="s">
        <v>3080</v>
      </c>
      <c r="E533" s="5" t="s">
        <v>2406</v>
      </c>
      <c r="F533" s="3" t="s">
        <v>4278</v>
      </c>
      <c r="G533" s="3" t="str">
        <f>"00740745"</f>
        <v>00740745</v>
      </c>
    </row>
    <row r="534" spans="1:7" x14ac:dyDescent="0.25">
      <c r="A534" s="2">
        <v>533</v>
      </c>
      <c r="B534" s="3">
        <v>6773</v>
      </c>
      <c r="C534" s="5" t="s">
        <v>1945</v>
      </c>
      <c r="D534" s="5" t="s">
        <v>1204</v>
      </c>
      <c r="E534" s="5" t="s">
        <v>11</v>
      </c>
      <c r="F534" s="3" t="s">
        <v>4240</v>
      </c>
      <c r="G534" s="3" t="str">
        <f>"00823608"</f>
        <v>00823608</v>
      </c>
    </row>
    <row r="535" spans="1:7" x14ac:dyDescent="0.25">
      <c r="A535" s="2">
        <v>534</v>
      </c>
      <c r="B535" s="3">
        <v>5936</v>
      </c>
      <c r="C535" s="5" t="s">
        <v>1945</v>
      </c>
      <c r="D535" s="5" t="s">
        <v>66</v>
      </c>
      <c r="E535" s="5" t="s">
        <v>87</v>
      </c>
      <c r="F535" s="3" t="s">
        <v>1946</v>
      </c>
      <c r="G535" s="3" t="str">
        <f>"01015920"</f>
        <v>01015920</v>
      </c>
    </row>
    <row r="536" spans="1:7" x14ac:dyDescent="0.25">
      <c r="A536" s="2">
        <v>535</v>
      </c>
      <c r="B536" s="3">
        <v>12970</v>
      </c>
      <c r="C536" s="5" t="s">
        <v>2895</v>
      </c>
      <c r="D536" s="5" t="s">
        <v>66</v>
      </c>
      <c r="E536" s="5" t="s">
        <v>1891</v>
      </c>
      <c r="F536" s="3" t="s">
        <v>2896</v>
      </c>
      <c r="G536" s="3" t="str">
        <f>"00124456"</f>
        <v>00124456</v>
      </c>
    </row>
    <row r="537" spans="1:7" x14ac:dyDescent="0.25">
      <c r="A537" s="2">
        <v>536</v>
      </c>
      <c r="B537" s="3">
        <v>6320</v>
      </c>
      <c r="C537" s="5" t="s">
        <v>2449</v>
      </c>
      <c r="D537" s="5" t="s">
        <v>2448</v>
      </c>
      <c r="E537" s="5" t="s">
        <v>1775</v>
      </c>
      <c r="F537" s="3" t="s">
        <v>2450</v>
      </c>
      <c r="G537" s="3" t="str">
        <f>"01016485"</f>
        <v>01016485</v>
      </c>
    </row>
    <row r="538" spans="1:7" x14ac:dyDescent="0.25">
      <c r="A538" s="2">
        <v>537</v>
      </c>
      <c r="B538" s="3">
        <v>5235</v>
      </c>
      <c r="C538" s="5" t="s">
        <v>3301</v>
      </c>
      <c r="D538" s="5" t="s">
        <v>773</v>
      </c>
      <c r="E538" s="5" t="s">
        <v>44</v>
      </c>
      <c r="F538" s="3" t="s">
        <v>3302</v>
      </c>
      <c r="G538" s="3" t="str">
        <f>"00849004"</f>
        <v>00849004</v>
      </c>
    </row>
    <row r="539" spans="1:7" x14ac:dyDescent="0.25">
      <c r="A539" s="2">
        <v>538</v>
      </c>
      <c r="B539" s="3">
        <v>12901</v>
      </c>
      <c r="C539" s="5" t="s">
        <v>4399</v>
      </c>
      <c r="D539" s="5" t="s">
        <v>821</v>
      </c>
      <c r="E539" s="5" t="s">
        <v>63</v>
      </c>
      <c r="F539" s="3" t="s">
        <v>4400</v>
      </c>
      <c r="G539" s="3" t="str">
        <f>"00545864"</f>
        <v>00545864</v>
      </c>
    </row>
    <row r="540" spans="1:7" x14ac:dyDescent="0.25">
      <c r="A540" s="2">
        <v>539</v>
      </c>
      <c r="B540" s="3">
        <v>9594</v>
      </c>
      <c r="C540" s="5" t="s">
        <v>4154</v>
      </c>
      <c r="D540" s="5" t="s">
        <v>4153</v>
      </c>
      <c r="E540" s="5" t="s">
        <v>284</v>
      </c>
      <c r="F540" s="3" t="s">
        <v>4155</v>
      </c>
      <c r="G540" s="3" t="str">
        <f>"01011701"</f>
        <v>01011701</v>
      </c>
    </row>
    <row r="541" spans="1:7" x14ac:dyDescent="0.25">
      <c r="A541" s="2">
        <v>540</v>
      </c>
      <c r="B541" s="3">
        <v>12306</v>
      </c>
      <c r="C541" s="5" t="s">
        <v>4001</v>
      </c>
      <c r="D541" s="5" t="s">
        <v>159</v>
      </c>
      <c r="E541" s="5" t="s">
        <v>135</v>
      </c>
      <c r="F541" s="3" t="s">
        <v>4002</v>
      </c>
      <c r="G541" s="3" t="str">
        <f>"00286030"</f>
        <v>00286030</v>
      </c>
    </row>
    <row r="542" spans="1:7" x14ac:dyDescent="0.25">
      <c r="A542" s="2">
        <v>541</v>
      </c>
      <c r="B542" s="3">
        <v>5269</v>
      </c>
      <c r="C542" s="5" t="s">
        <v>1686</v>
      </c>
      <c r="D542" s="5" t="s">
        <v>1685</v>
      </c>
      <c r="E542" s="5" t="s">
        <v>32</v>
      </c>
      <c r="F542" s="3" t="s">
        <v>1687</v>
      </c>
      <c r="G542" s="3" t="str">
        <f>"00045237"</f>
        <v>00045237</v>
      </c>
    </row>
    <row r="543" spans="1:7" x14ac:dyDescent="0.25">
      <c r="A543" s="2">
        <v>542</v>
      </c>
      <c r="B543" s="3">
        <v>4738</v>
      </c>
      <c r="C543" s="5" t="s">
        <v>1729</v>
      </c>
      <c r="D543" s="5" t="s">
        <v>70</v>
      </c>
      <c r="E543" s="5" t="s">
        <v>82</v>
      </c>
      <c r="F543" s="3" t="s">
        <v>1730</v>
      </c>
      <c r="G543" s="3" t="str">
        <f>"00329658"</f>
        <v>00329658</v>
      </c>
    </row>
    <row r="544" spans="1:7" x14ac:dyDescent="0.25">
      <c r="A544" s="2">
        <v>543</v>
      </c>
      <c r="B544" s="3">
        <v>8386</v>
      </c>
      <c r="C544" s="5" t="s">
        <v>2452</v>
      </c>
      <c r="D544" s="5" t="s">
        <v>91</v>
      </c>
      <c r="E544" s="5" t="s">
        <v>604</v>
      </c>
      <c r="F544" s="3" t="s">
        <v>2453</v>
      </c>
      <c r="G544" s="3" t="str">
        <f>"00981950"</f>
        <v>00981950</v>
      </c>
    </row>
    <row r="545" spans="1:7" x14ac:dyDescent="0.25">
      <c r="A545" s="2">
        <v>544</v>
      </c>
      <c r="B545" s="3">
        <v>2496</v>
      </c>
      <c r="C545" s="5" t="s">
        <v>3505</v>
      </c>
      <c r="D545" s="5" t="s">
        <v>159</v>
      </c>
      <c r="E545" s="5" t="s">
        <v>1172</v>
      </c>
      <c r="F545" s="3" t="s">
        <v>3506</v>
      </c>
      <c r="G545" s="3" t="str">
        <f>"01005437"</f>
        <v>01005437</v>
      </c>
    </row>
    <row r="546" spans="1:7" x14ac:dyDescent="0.25">
      <c r="A546" s="2">
        <v>545</v>
      </c>
      <c r="B546" s="3">
        <v>7632</v>
      </c>
      <c r="C546" s="5" t="s">
        <v>119</v>
      </c>
      <c r="D546" s="5" t="s">
        <v>118</v>
      </c>
      <c r="E546" s="5" t="s">
        <v>284</v>
      </c>
      <c r="F546" s="3" t="s">
        <v>120</v>
      </c>
      <c r="G546" s="3" t="str">
        <f>"00506685"</f>
        <v>00506685</v>
      </c>
    </row>
    <row r="547" spans="1:7" x14ac:dyDescent="0.25">
      <c r="A547" s="2">
        <v>546</v>
      </c>
      <c r="B547" s="3">
        <v>5478</v>
      </c>
      <c r="C547" s="5" t="s">
        <v>652</v>
      </c>
      <c r="D547" s="5" t="s">
        <v>32</v>
      </c>
      <c r="E547" s="5" t="s">
        <v>5</v>
      </c>
      <c r="F547" s="3" t="s">
        <v>653</v>
      </c>
      <c r="G547" s="3" t="str">
        <f>"00984148"</f>
        <v>00984148</v>
      </c>
    </row>
    <row r="548" spans="1:7" x14ac:dyDescent="0.25">
      <c r="A548" s="2">
        <v>547</v>
      </c>
      <c r="B548" s="3">
        <v>12291</v>
      </c>
      <c r="C548" s="5" t="s">
        <v>1951</v>
      </c>
      <c r="D548" s="5" t="s">
        <v>490</v>
      </c>
      <c r="E548" s="5" t="s">
        <v>810</v>
      </c>
      <c r="F548" s="3" t="s">
        <v>1952</v>
      </c>
      <c r="G548" s="3" t="str">
        <f>"201511043486"</f>
        <v>201511043486</v>
      </c>
    </row>
    <row r="549" spans="1:7" x14ac:dyDescent="0.25">
      <c r="A549" s="2">
        <v>548</v>
      </c>
      <c r="B549" s="3">
        <v>7934</v>
      </c>
      <c r="C549" s="5" t="s">
        <v>1195</v>
      </c>
      <c r="D549" s="5" t="s">
        <v>1194</v>
      </c>
      <c r="E549" s="5" t="s">
        <v>94</v>
      </c>
      <c r="F549" s="3" t="s">
        <v>1196</v>
      </c>
      <c r="G549" s="3" t="str">
        <f>"201511039740"</f>
        <v>201511039740</v>
      </c>
    </row>
    <row r="550" spans="1:7" x14ac:dyDescent="0.25">
      <c r="A550" s="2">
        <v>549</v>
      </c>
      <c r="B550" s="3">
        <v>1127</v>
      </c>
      <c r="C550" s="5" t="s">
        <v>443</v>
      </c>
      <c r="D550" s="5" t="s">
        <v>38</v>
      </c>
      <c r="E550" s="5" t="s">
        <v>52</v>
      </c>
      <c r="F550" s="3">
        <v>2012537</v>
      </c>
      <c r="G550" s="3" t="str">
        <f>"00985527"</f>
        <v>00985527</v>
      </c>
    </row>
    <row r="551" spans="1:7" x14ac:dyDescent="0.25">
      <c r="A551" s="2">
        <v>550</v>
      </c>
      <c r="B551" s="3">
        <v>403</v>
      </c>
      <c r="C551" s="5" t="s">
        <v>1175</v>
      </c>
      <c r="D551" s="5" t="s">
        <v>5</v>
      </c>
      <c r="E551" s="5" t="s">
        <v>2786</v>
      </c>
      <c r="F551" s="3" t="s">
        <v>1176</v>
      </c>
      <c r="G551" s="3" t="str">
        <f>"00806428"</f>
        <v>00806428</v>
      </c>
    </row>
    <row r="552" spans="1:7" x14ac:dyDescent="0.25">
      <c r="A552" s="2">
        <v>551</v>
      </c>
      <c r="B552" s="3">
        <v>6925</v>
      </c>
      <c r="C552" s="5" t="s">
        <v>1382</v>
      </c>
      <c r="D552" s="5" t="s">
        <v>91</v>
      </c>
      <c r="E552" s="5" t="s">
        <v>129</v>
      </c>
      <c r="F552" s="3" t="s">
        <v>1383</v>
      </c>
      <c r="G552" s="3" t="str">
        <f>"00892922"</f>
        <v>00892922</v>
      </c>
    </row>
    <row r="553" spans="1:7" x14ac:dyDescent="0.25">
      <c r="A553" s="2">
        <v>552</v>
      </c>
      <c r="B553" s="3">
        <v>2910</v>
      </c>
      <c r="C553" s="5" t="s">
        <v>3034</v>
      </c>
      <c r="D553" s="5" t="s">
        <v>307</v>
      </c>
      <c r="E553" s="5" t="s">
        <v>129</v>
      </c>
      <c r="F553" s="3" t="s">
        <v>3035</v>
      </c>
      <c r="G553" s="3" t="str">
        <f>"00562810"</f>
        <v>00562810</v>
      </c>
    </row>
    <row r="554" spans="1:7" x14ac:dyDescent="0.25">
      <c r="A554" s="2">
        <v>553</v>
      </c>
      <c r="B554" s="3">
        <v>565</v>
      </c>
      <c r="C554" s="5" t="s">
        <v>3032</v>
      </c>
      <c r="D554" s="5" t="s">
        <v>416</v>
      </c>
      <c r="E554" s="5" t="s">
        <v>82</v>
      </c>
      <c r="F554" s="3" t="s">
        <v>3033</v>
      </c>
      <c r="G554" s="3" t="str">
        <f>"00959332"</f>
        <v>00959332</v>
      </c>
    </row>
    <row r="555" spans="1:7" x14ac:dyDescent="0.25">
      <c r="A555" s="2">
        <v>554</v>
      </c>
      <c r="B555" s="3">
        <v>6436</v>
      </c>
      <c r="C555" s="5" t="s">
        <v>1522</v>
      </c>
      <c r="D555" s="5" t="s">
        <v>44</v>
      </c>
      <c r="E555" s="5" t="s">
        <v>5</v>
      </c>
      <c r="F555" s="3" t="s">
        <v>1523</v>
      </c>
      <c r="G555" s="3" t="str">
        <f>"00450106"</f>
        <v>00450106</v>
      </c>
    </row>
    <row r="556" spans="1:7" x14ac:dyDescent="0.25">
      <c r="A556" s="2">
        <v>555</v>
      </c>
      <c r="B556" s="3">
        <v>5586</v>
      </c>
      <c r="C556" s="5" t="s">
        <v>546</v>
      </c>
      <c r="D556" s="5" t="s">
        <v>545</v>
      </c>
      <c r="E556" s="5" t="s">
        <v>87</v>
      </c>
      <c r="F556" s="3" t="s">
        <v>547</v>
      </c>
      <c r="G556" s="3" t="str">
        <f>"00448687"</f>
        <v>00448687</v>
      </c>
    </row>
    <row r="557" spans="1:7" x14ac:dyDescent="0.25">
      <c r="A557" s="2">
        <v>556</v>
      </c>
      <c r="B557" s="3">
        <v>11636</v>
      </c>
      <c r="C557" s="5" t="s">
        <v>4923</v>
      </c>
      <c r="D557" s="5" t="s">
        <v>499</v>
      </c>
      <c r="E557" s="5" t="s">
        <v>4924</v>
      </c>
      <c r="F557" s="3" t="s">
        <v>500</v>
      </c>
      <c r="G557" s="3" t="str">
        <f>"01015016"</f>
        <v>01015016</v>
      </c>
    </row>
    <row r="558" spans="1:7" x14ac:dyDescent="0.25">
      <c r="A558" s="2">
        <v>557</v>
      </c>
      <c r="B558" s="3">
        <v>8296</v>
      </c>
      <c r="C558" s="5" t="s">
        <v>1386</v>
      </c>
      <c r="D558" s="5" t="s">
        <v>102</v>
      </c>
      <c r="E558" s="5" t="s">
        <v>32</v>
      </c>
      <c r="F558" s="3" t="s">
        <v>1387</v>
      </c>
      <c r="G558" s="3" t="str">
        <f>"00245126"</f>
        <v>00245126</v>
      </c>
    </row>
    <row r="559" spans="1:7" x14ac:dyDescent="0.25">
      <c r="A559" s="2">
        <v>558</v>
      </c>
      <c r="B559" s="3">
        <v>5234</v>
      </c>
      <c r="C559" s="5" t="s">
        <v>1869</v>
      </c>
      <c r="D559" s="5" t="s">
        <v>126</v>
      </c>
      <c r="E559" s="5" t="s">
        <v>52</v>
      </c>
      <c r="F559" s="3" t="s">
        <v>1870</v>
      </c>
      <c r="G559" s="3" t="str">
        <f>"00548699"</f>
        <v>00548699</v>
      </c>
    </row>
    <row r="560" spans="1:7" x14ac:dyDescent="0.25">
      <c r="A560" s="2">
        <v>559</v>
      </c>
      <c r="B560" s="3">
        <v>454</v>
      </c>
      <c r="C560" s="5" t="s">
        <v>2400</v>
      </c>
      <c r="D560" s="5" t="s">
        <v>2399</v>
      </c>
      <c r="E560" s="5" t="s">
        <v>82</v>
      </c>
      <c r="F560" s="3" t="s">
        <v>2401</v>
      </c>
      <c r="G560" s="3" t="str">
        <f>"00541569"</f>
        <v>00541569</v>
      </c>
    </row>
    <row r="561" spans="1:7" x14ac:dyDescent="0.25">
      <c r="A561" s="2">
        <v>560</v>
      </c>
      <c r="B561" s="3">
        <v>4587</v>
      </c>
      <c r="C561" s="5" t="s">
        <v>732</v>
      </c>
      <c r="D561" s="5" t="s">
        <v>731</v>
      </c>
      <c r="E561" s="5" t="s">
        <v>14</v>
      </c>
      <c r="F561" s="3" t="s">
        <v>733</v>
      </c>
      <c r="G561" s="3" t="str">
        <f>"00620311"</f>
        <v>00620311</v>
      </c>
    </row>
    <row r="562" spans="1:7" x14ac:dyDescent="0.25">
      <c r="A562" s="2">
        <v>561</v>
      </c>
      <c r="B562" s="3">
        <v>7159</v>
      </c>
      <c r="C562" s="5" t="s">
        <v>82</v>
      </c>
      <c r="D562" s="5" t="s">
        <v>94</v>
      </c>
      <c r="E562" s="5" t="s">
        <v>5</v>
      </c>
      <c r="F562" s="3" t="s">
        <v>1588</v>
      </c>
      <c r="G562" s="3" t="str">
        <f>"00985789"</f>
        <v>00985789</v>
      </c>
    </row>
    <row r="563" spans="1:7" x14ac:dyDescent="0.25">
      <c r="A563" s="2">
        <v>562</v>
      </c>
      <c r="B563" s="3">
        <v>12479</v>
      </c>
      <c r="C563" s="5" t="s">
        <v>82</v>
      </c>
      <c r="D563" s="5" t="s">
        <v>5</v>
      </c>
      <c r="E563" s="5" t="s">
        <v>32</v>
      </c>
      <c r="F563" s="3" t="s">
        <v>83</v>
      </c>
      <c r="G563" s="3" t="str">
        <f>"00493105"</f>
        <v>00493105</v>
      </c>
    </row>
    <row r="564" spans="1:7" x14ac:dyDescent="0.25">
      <c r="A564" s="2">
        <v>563</v>
      </c>
      <c r="B564" s="3">
        <v>8643</v>
      </c>
      <c r="C564" s="5" t="s">
        <v>1770</v>
      </c>
      <c r="D564" s="5" t="s">
        <v>5</v>
      </c>
      <c r="E564" s="5" t="s">
        <v>667</v>
      </c>
      <c r="F564" s="3" t="s">
        <v>1771</v>
      </c>
      <c r="G564" s="3" t="str">
        <f>"01016650"</f>
        <v>01016650</v>
      </c>
    </row>
    <row r="565" spans="1:7" x14ac:dyDescent="0.25">
      <c r="A565" s="2">
        <v>564</v>
      </c>
      <c r="B565" s="3">
        <v>12710</v>
      </c>
      <c r="C565" s="5" t="s">
        <v>1625</v>
      </c>
      <c r="D565" s="5" t="s">
        <v>457</v>
      </c>
      <c r="E565" s="5" t="s">
        <v>1292</v>
      </c>
      <c r="F565" s="3" t="s">
        <v>1626</v>
      </c>
      <c r="G565" s="3" t="str">
        <f>"201401001115"</f>
        <v>201401001115</v>
      </c>
    </row>
    <row r="566" spans="1:7" x14ac:dyDescent="0.25">
      <c r="A566" s="2">
        <v>565</v>
      </c>
      <c r="B566" s="3">
        <v>11</v>
      </c>
      <c r="C566" s="5" t="s">
        <v>851</v>
      </c>
      <c r="D566" s="5" t="s">
        <v>32</v>
      </c>
      <c r="E566" s="5" t="s">
        <v>44</v>
      </c>
      <c r="F566" s="3" t="s">
        <v>852</v>
      </c>
      <c r="G566" s="3" t="str">
        <f>"00967698"</f>
        <v>00967698</v>
      </c>
    </row>
    <row r="567" spans="1:7" x14ac:dyDescent="0.25">
      <c r="A567" s="2">
        <v>566</v>
      </c>
      <c r="B567" s="3">
        <v>12576</v>
      </c>
      <c r="C567" s="5" t="s">
        <v>598</v>
      </c>
      <c r="D567" s="5" t="s">
        <v>135</v>
      </c>
      <c r="E567" s="5" t="s">
        <v>5</v>
      </c>
      <c r="F567" s="3" t="s">
        <v>599</v>
      </c>
      <c r="G567" s="3" t="str">
        <f>"00985310"</f>
        <v>00985310</v>
      </c>
    </row>
    <row r="568" spans="1:7" x14ac:dyDescent="0.25">
      <c r="A568" s="2">
        <v>567</v>
      </c>
      <c r="B568" s="3">
        <v>5452</v>
      </c>
      <c r="C568" s="5" t="s">
        <v>2540</v>
      </c>
      <c r="D568" s="5" t="s">
        <v>366</v>
      </c>
      <c r="E568" s="5" t="s">
        <v>87</v>
      </c>
      <c r="F568" s="3" t="s">
        <v>2541</v>
      </c>
      <c r="G568" s="3" t="str">
        <f>"00809671"</f>
        <v>00809671</v>
      </c>
    </row>
    <row r="569" spans="1:7" x14ac:dyDescent="0.25">
      <c r="A569" s="2">
        <v>568</v>
      </c>
      <c r="B569" s="3">
        <v>9975</v>
      </c>
      <c r="C569" s="5" t="s">
        <v>1775</v>
      </c>
      <c r="D569" s="5" t="s">
        <v>667</v>
      </c>
      <c r="E569" s="5" t="s">
        <v>5</v>
      </c>
      <c r="F569" s="3" t="s">
        <v>1776</v>
      </c>
      <c r="G569" s="3" t="str">
        <f>"00441326"</f>
        <v>00441326</v>
      </c>
    </row>
    <row r="570" spans="1:7" x14ac:dyDescent="0.25">
      <c r="A570" s="2">
        <v>569</v>
      </c>
      <c r="B570" s="3">
        <v>3013</v>
      </c>
      <c r="C570" s="5" t="s">
        <v>4371</v>
      </c>
      <c r="D570" s="5" t="s">
        <v>63</v>
      </c>
      <c r="E570" s="5" t="s">
        <v>87</v>
      </c>
      <c r="F570" s="3" t="s">
        <v>4372</v>
      </c>
      <c r="G570" s="3" t="str">
        <f>"00742430"</f>
        <v>00742430</v>
      </c>
    </row>
    <row r="571" spans="1:7" x14ac:dyDescent="0.25">
      <c r="A571" s="2">
        <v>570</v>
      </c>
      <c r="B571" s="3">
        <v>8314</v>
      </c>
      <c r="C571" s="5" t="s">
        <v>758</v>
      </c>
      <c r="D571" s="5" t="s">
        <v>184</v>
      </c>
      <c r="E571" s="5" t="s">
        <v>1432</v>
      </c>
      <c r="F571" s="3" t="s">
        <v>759</v>
      </c>
      <c r="G571" s="3" t="str">
        <f>"01012803"</f>
        <v>01012803</v>
      </c>
    </row>
    <row r="572" spans="1:7" x14ac:dyDescent="0.25">
      <c r="A572" s="2">
        <v>571</v>
      </c>
      <c r="B572" s="3">
        <v>11292</v>
      </c>
      <c r="C572" s="5" t="s">
        <v>1930</v>
      </c>
      <c r="D572" s="5" t="s">
        <v>70</v>
      </c>
      <c r="E572" s="5" t="s">
        <v>44</v>
      </c>
      <c r="F572" s="3" t="s">
        <v>1931</v>
      </c>
      <c r="G572" s="3" t="str">
        <f>"01012456"</f>
        <v>01012456</v>
      </c>
    </row>
    <row r="573" spans="1:7" x14ac:dyDescent="0.25">
      <c r="A573" s="2">
        <v>572</v>
      </c>
      <c r="B573" s="3">
        <v>5635</v>
      </c>
      <c r="C573" s="5" t="s">
        <v>1672</v>
      </c>
      <c r="D573" s="5" t="s">
        <v>1432</v>
      </c>
      <c r="E573" s="5" t="s">
        <v>52</v>
      </c>
      <c r="F573" s="3" t="s">
        <v>1673</v>
      </c>
      <c r="G573" s="3" t="str">
        <f>"00686840"</f>
        <v>00686840</v>
      </c>
    </row>
    <row r="574" spans="1:7" x14ac:dyDescent="0.25">
      <c r="A574" s="2">
        <v>573</v>
      </c>
      <c r="B574" s="3">
        <v>9461</v>
      </c>
      <c r="C574" s="5" t="s">
        <v>3880</v>
      </c>
      <c r="D574" s="5" t="s">
        <v>94</v>
      </c>
      <c r="E574" s="5" t="s">
        <v>667</v>
      </c>
      <c r="F574" s="3" t="s">
        <v>3881</v>
      </c>
      <c r="G574" s="3" t="str">
        <f>"01014701"</f>
        <v>01014701</v>
      </c>
    </row>
    <row r="575" spans="1:7" x14ac:dyDescent="0.25">
      <c r="A575" s="2">
        <v>574</v>
      </c>
      <c r="B575" s="3">
        <v>10796</v>
      </c>
      <c r="C575" s="5" t="s">
        <v>451</v>
      </c>
      <c r="D575" s="5" t="s">
        <v>113</v>
      </c>
      <c r="E575" s="5" t="s">
        <v>2659</v>
      </c>
      <c r="F575" s="3" t="s">
        <v>452</v>
      </c>
      <c r="G575" s="3" t="str">
        <f>"00301341"</f>
        <v>00301341</v>
      </c>
    </row>
    <row r="576" spans="1:7" x14ac:dyDescent="0.25">
      <c r="A576" s="2">
        <v>575</v>
      </c>
      <c r="B576" s="3">
        <v>4819</v>
      </c>
      <c r="C576" s="5" t="s">
        <v>451</v>
      </c>
      <c r="D576" s="5" t="s">
        <v>667</v>
      </c>
      <c r="E576" s="5" t="s">
        <v>52</v>
      </c>
      <c r="F576" s="3" t="s">
        <v>3625</v>
      </c>
      <c r="G576" s="3" t="str">
        <f>"00542111"</f>
        <v>00542111</v>
      </c>
    </row>
    <row r="577" spans="1:7" x14ac:dyDescent="0.25">
      <c r="A577" s="2">
        <v>576</v>
      </c>
      <c r="B577" s="3">
        <v>9462</v>
      </c>
      <c r="C577" s="5" t="s">
        <v>451</v>
      </c>
      <c r="D577" s="5" t="s">
        <v>263</v>
      </c>
      <c r="E577" s="5" t="s">
        <v>1172</v>
      </c>
      <c r="F577" s="3">
        <v>709674013</v>
      </c>
      <c r="G577" s="3" t="str">
        <f>"00212114"</f>
        <v>00212114</v>
      </c>
    </row>
    <row r="578" spans="1:7" x14ac:dyDescent="0.25">
      <c r="A578" s="2">
        <v>577</v>
      </c>
      <c r="B578" s="3">
        <v>12502</v>
      </c>
      <c r="C578" s="5" t="s">
        <v>2814</v>
      </c>
      <c r="D578" s="5" t="s">
        <v>1199</v>
      </c>
      <c r="E578" s="5" t="s">
        <v>1432</v>
      </c>
      <c r="F578" s="3" t="s">
        <v>2815</v>
      </c>
      <c r="G578" s="3" t="str">
        <f>"00447827"</f>
        <v>00447827</v>
      </c>
    </row>
    <row r="579" spans="1:7" x14ac:dyDescent="0.25">
      <c r="A579" s="2">
        <v>578</v>
      </c>
      <c r="B579" s="3">
        <v>5604</v>
      </c>
      <c r="C579" s="5" t="s">
        <v>1885</v>
      </c>
      <c r="D579" s="5" t="s">
        <v>52</v>
      </c>
      <c r="E579" s="5" t="s">
        <v>44</v>
      </c>
      <c r="F579" s="3" t="s">
        <v>3987</v>
      </c>
      <c r="G579" s="3" t="str">
        <f>"01008644"</f>
        <v>01008644</v>
      </c>
    </row>
    <row r="580" spans="1:7" x14ac:dyDescent="0.25">
      <c r="A580" s="2">
        <v>579</v>
      </c>
      <c r="B580" s="3">
        <v>3104</v>
      </c>
      <c r="C580" s="5" t="s">
        <v>1885</v>
      </c>
      <c r="D580" s="5" t="s">
        <v>129</v>
      </c>
      <c r="E580" s="5" t="s">
        <v>87</v>
      </c>
      <c r="F580" s="3" t="s">
        <v>1886</v>
      </c>
      <c r="G580" s="3" t="str">
        <f>"01014186"</f>
        <v>01014186</v>
      </c>
    </row>
    <row r="581" spans="1:7" x14ac:dyDescent="0.25">
      <c r="A581" s="2">
        <v>580</v>
      </c>
      <c r="B581" s="3">
        <v>576</v>
      </c>
      <c r="C581" s="5" t="s">
        <v>3466</v>
      </c>
      <c r="D581" s="5" t="s">
        <v>490</v>
      </c>
      <c r="E581" s="5" t="s">
        <v>11</v>
      </c>
      <c r="F581" s="3" t="s">
        <v>3467</v>
      </c>
      <c r="G581" s="3" t="str">
        <f>"01013323"</f>
        <v>01013323</v>
      </c>
    </row>
    <row r="582" spans="1:7" x14ac:dyDescent="0.25">
      <c r="A582" s="2">
        <v>581</v>
      </c>
      <c r="B582" s="3">
        <v>6900</v>
      </c>
      <c r="C582" s="5" t="s">
        <v>92</v>
      </c>
      <c r="D582" s="5" t="s">
        <v>366</v>
      </c>
      <c r="E582" s="5" t="s">
        <v>1023</v>
      </c>
      <c r="F582" s="3" t="s">
        <v>1325</v>
      </c>
      <c r="G582" s="3" t="str">
        <f>"00010006"</f>
        <v>00010006</v>
      </c>
    </row>
    <row r="583" spans="1:7" x14ac:dyDescent="0.25">
      <c r="A583" s="2">
        <v>582</v>
      </c>
      <c r="B583" s="3">
        <v>2645</v>
      </c>
      <c r="C583" s="5" t="s">
        <v>92</v>
      </c>
      <c r="D583" s="5" t="s">
        <v>91</v>
      </c>
      <c r="E583" s="5" t="s">
        <v>252</v>
      </c>
      <c r="F583" s="3" t="s">
        <v>93</v>
      </c>
      <c r="G583" s="3" t="str">
        <f>"00170136"</f>
        <v>00170136</v>
      </c>
    </row>
    <row r="584" spans="1:7" x14ac:dyDescent="0.25">
      <c r="A584" s="2">
        <v>583</v>
      </c>
      <c r="B584" s="3">
        <v>11395</v>
      </c>
      <c r="C584" s="5" t="s">
        <v>813</v>
      </c>
      <c r="D584" s="5" t="s">
        <v>52</v>
      </c>
      <c r="E584" s="5" t="s">
        <v>129</v>
      </c>
      <c r="F584" s="3" t="s">
        <v>3687</v>
      </c>
      <c r="G584" s="3" t="str">
        <f>"00957834"</f>
        <v>00957834</v>
      </c>
    </row>
    <row r="585" spans="1:7" x14ac:dyDescent="0.25">
      <c r="A585" s="2">
        <v>584</v>
      </c>
      <c r="B585" s="3">
        <v>12716</v>
      </c>
      <c r="C585" s="5" t="s">
        <v>813</v>
      </c>
      <c r="D585" s="5" t="s">
        <v>52</v>
      </c>
      <c r="E585" s="5" t="s">
        <v>1023</v>
      </c>
      <c r="F585" s="3" t="s">
        <v>814</v>
      </c>
      <c r="G585" s="3" t="str">
        <f>"00545544"</f>
        <v>00545544</v>
      </c>
    </row>
    <row r="586" spans="1:7" x14ac:dyDescent="0.25">
      <c r="A586" s="2">
        <v>585</v>
      </c>
      <c r="B586" s="3">
        <v>10112</v>
      </c>
      <c r="C586" s="5" t="s">
        <v>4718</v>
      </c>
      <c r="D586" s="5" t="s">
        <v>87</v>
      </c>
      <c r="E586" s="5" t="s">
        <v>284</v>
      </c>
      <c r="F586" s="3" t="s">
        <v>4719</v>
      </c>
      <c r="G586" s="3" t="str">
        <f>"00970527"</f>
        <v>00970527</v>
      </c>
    </row>
    <row r="587" spans="1:7" x14ac:dyDescent="0.25">
      <c r="A587" s="2">
        <v>586</v>
      </c>
      <c r="B587" s="3">
        <v>1647</v>
      </c>
      <c r="C587" s="5" t="s">
        <v>3862</v>
      </c>
      <c r="D587" s="5" t="s">
        <v>366</v>
      </c>
      <c r="E587" s="5" t="s">
        <v>214</v>
      </c>
      <c r="F587" s="3" t="s">
        <v>3863</v>
      </c>
      <c r="G587" s="3" t="str">
        <f>"00978380"</f>
        <v>00978380</v>
      </c>
    </row>
    <row r="588" spans="1:7" x14ac:dyDescent="0.25">
      <c r="A588" s="2">
        <v>587</v>
      </c>
      <c r="B588" s="3">
        <v>5997</v>
      </c>
      <c r="C588" s="5" t="s">
        <v>2081</v>
      </c>
      <c r="D588" s="5" t="s">
        <v>126</v>
      </c>
      <c r="E588" s="5" t="s">
        <v>44</v>
      </c>
      <c r="F588" s="3" t="s">
        <v>2082</v>
      </c>
      <c r="G588" s="3" t="str">
        <f>"00815380"</f>
        <v>00815380</v>
      </c>
    </row>
    <row r="589" spans="1:7" x14ac:dyDescent="0.25">
      <c r="A589" s="2">
        <v>588</v>
      </c>
      <c r="B589" s="3">
        <v>2324</v>
      </c>
      <c r="C589" s="5" t="s">
        <v>410</v>
      </c>
      <c r="D589" s="5" t="s">
        <v>84</v>
      </c>
      <c r="E589" s="5" t="s">
        <v>1152</v>
      </c>
      <c r="F589" s="3" t="s">
        <v>411</v>
      </c>
      <c r="G589" s="3" t="str">
        <f>"201511006840"</f>
        <v>201511006840</v>
      </c>
    </row>
    <row r="590" spans="1:7" x14ac:dyDescent="0.25">
      <c r="A590" s="2">
        <v>589</v>
      </c>
      <c r="B590" s="3">
        <v>8266</v>
      </c>
      <c r="C590" s="5" t="s">
        <v>3325</v>
      </c>
      <c r="D590" s="5" t="s">
        <v>87</v>
      </c>
      <c r="E590" s="5" t="s">
        <v>52</v>
      </c>
      <c r="F590" s="3" t="s">
        <v>3326</v>
      </c>
      <c r="G590" s="3" t="str">
        <f>"00835102"</f>
        <v>00835102</v>
      </c>
    </row>
    <row r="591" spans="1:7" x14ac:dyDescent="0.25">
      <c r="A591" s="2">
        <v>590</v>
      </c>
      <c r="B591" s="3">
        <v>5324</v>
      </c>
      <c r="C591" s="5" t="s">
        <v>952</v>
      </c>
      <c r="D591" s="5" t="s">
        <v>951</v>
      </c>
      <c r="E591" s="5" t="s">
        <v>11</v>
      </c>
      <c r="F591" s="3" t="s">
        <v>953</v>
      </c>
      <c r="G591" s="3" t="str">
        <f>"00762202"</f>
        <v>00762202</v>
      </c>
    </row>
    <row r="592" spans="1:7" x14ac:dyDescent="0.25">
      <c r="A592" s="2">
        <v>591</v>
      </c>
      <c r="B592" s="3">
        <v>112</v>
      </c>
      <c r="C592" s="5" t="s">
        <v>2820</v>
      </c>
      <c r="D592" s="5" t="s">
        <v>14</v>
      </c>
      <c r="E592" s="5" t="s">
        <v>87</v>
      </c>
      <c r="F592" s="3" t="s">
        <v>2821</v>
      </c>
      <c r="G592" s="3" t="str">
        <f>"00980503"</f>
        <v>00980503</v>
      </c>
    </row>
    <row r="593" spans="1:7" x14ac:dyDescent="0.25">
      <c r="A593" s="2">
        <v>592</v>
      </c>
      <c r="B593" s="3">
        <v>11722</v>
      </c>
      <c r="C593" s="5" t="s">
        <v>734</v>
      </c>
      <c r="D593" s="5" t="s">
        <v>207</v>
      </c>
      <c r="E593" s="5" t="s">
        <v>11</v>
      </c>
      <c r="F593" s="3" t="s">
        <v>4190</v>
      </c>
      <c r="G593" s="3" t="str">
        <f>"00445983"</f>
        <v>00445983</v>
      </c>
    </row>
    <row r="594" spans="1:7" x14ac:dyDescent="0.25">
      <c r="A594" s="2">
        <v>593</v>
      </c>
      <c r="B594" s="3">
        <v>4649</v>
      </c>
      <c r="C594" s="5" t="s">
        <v>734</v>
      </c>
      <c r="D594" s="5" t="s">
        <v>44</v>
      </c>
      <c r="E594" s="5" t="s">
        <v>622</v>
      </c>
      <c r="F594" s="3" t="s">
        <v>735</v>
      </c>
      <c r="G594" s="3" t="str">
        <f>"201604003753"</f>
        <v>201604003753</v>
      </c>
    </row>
    <row r="595" spans="1:7" x14ac:dyDescent="0.25">
      <c r="A595" s="2">
        <v>594</v>
      </c>
      <c r="B595" s="3">
        <v>2174</v>
      </c>
      <c r="C595" s="5" t="s">
        <v>4175</v>
      </c>
      <c r="D595" s="5" t="s">
        <v>457</v>
      </c>
      <c r="E595" s="5" t="s">
        <v>52</v>
      </c>
      <c r="F595" s="3" t="s">
        <v>4176</v>
      </c>
      <c r="G595" s="3" t="str">
        <f>"01016746"</f>
        <v>01016746</v>
      </c>
    </row>
    <row r="596" spans="1:7" x14ac:dyDescent="0.25">
      <c r="A596" s="2">
        <v>595</v>
      </c>
      <c r="B596" s="3">
        <v>12270</v>
      </c>
      <c r="C596" s="5" t="s">
        <v>2239</v>
      </c>
      <c r="D596" s="5" t="s">
        <v>87</v>
      </c>
      <c r="E596" s="5" t="s">
        <v>52</v>
      </c>
      <c r="F596" s="3" t="s">
        <v>2240</v>
      </c>
      <c r="G596" s="3" t="str">
        <f>"00979239"</f>
        <v>00979239</v>
      </c>
    </row>
    <row r="597" spans="1:7" x14ac:dyDescent="0.25">
      <c r="A597" s="2">
        <v>596</v>
      </c>
      <c r="B597" s="3">
        <v>1980</v>
      </c>
      <c r="C597" s="5" t="s">
        <v>3697</v>
      </c>
      <c r="D597" s="5" t="s">
        <v>129</v>
      </c>
      <c r="E597" s="5" t="s">
        <v>622</v>
      </c>
      <c r="F597" s="3" t="s">
        <v>3698</v>
      </c>
      <c r="G597" s="3" t="str">
        <f>"01016741"</f>
        <v>01016741</v>
      </c>
    </row>
    <row r="598" spans="1:7" x14ac:dyDescent="0.25">
      <c r="A598" s="2">
        <v>597</v>
      </c>
      <c r="B598" s="3">
        <v>2334</v>
      </c>
      <c r="C598" s="5" t="s">
        <v>4636</v>
      </c>
      <c r="D598" s="5" t="s">
        <v>162</v>
      </c>
      <c r="E598" s="5" t="s">
        <v>372</v>
      </c>
      <c r="F598" s="3" t="s">
        <v>4637</v>
      </c>
      <c r="G598" s="3" t="str">
        <f>"00234500"</f>
        <v>00234500</v>
      </c>
    </row>
    <row r="599" spans="1:7" x14ac:dyDescent="0.25">
      <c r="A599" s="2">
        <v>598</v>
      </c>
      <c r="B599" s="3">
        <v>5901</v>
      </c>
      <c r="C599" s="5" t="s">
        <v>614</v>
      </c>
      <c r="D599" s="5" t="s">
        <v>284</v>
      </c>
      <c r="E599" s="5" t="s">
        <v>1023</v>
      </c>
      <c r="F599" s="3" t="s">
        <v>615</v>
      </c>
      <c r="G599" s="3" t="str">
        <f>"00841785"</f>
        <v>00841785</v>
      </c>
    </row>
    <row r="600" spans="1:7" x14ac:dyDescent="0.25">
      <c r="A600" s="2">
        <v>599</v>
      </c>
      <c r="B600" s="3">
        <v>3478</v>
      </c>
      <c r="C600" s="5" t="s">
        <v>361</v>
      </c>
      <c r="D600" s="5" t="s">
        <v>66</v>
      </c>
      <c r="E600" s="5" t="s">
        <v>32</v>
      </c>
      <c r="F600" s="3" t="s">
        <v>362</v>
      </c>
      <c r="G600" s="3" t="str">
        <f>"01017729"</f>
        <v>01017729</v>
      </c>
    </row>
    <row r="601" spans="1:7" x14ac:dyDescent="0.25">
      <c r="A601" s="2">
        <v>600</v>
      </c>
      <c r="B601" s="3">
        <v>12171</v>
      </c>
      <c r="C601" s="5" t="s">
        <v>4257</v>
      </c>
      <c r="D601" s="5" t="s">
        <v>32</v>
      </c>
      <c r="E601" s="5" t="s">
        <v>87</v>
      </c>
      <c r="F601" s="3" t="s">
        <v>4258</v>
      </c>
      <c r="G601" s="3" t="str">
        <f>"00966922"</f>
        <v>00966922</v>
      </c>
    </row>
    <row r="602" spans="1:7" x14ac:dyDescent="0.25">
      <c r="A602" s="2">
        <v>601</v>
      </c>
      <c r="B602" s="3">
        <v>219</v>
      </c>
      <c r="C602" s="5" t="s">
        <v>4062</v>
      </c>
      <c r="D602" s="5" t="s">
        <v>4061</v>
      </c>
      <c r="E602" s="5" t="s">
        <v>87</v>
      </c>
      <c r="F602" s="3" t="s">
        <v>4063</v>
      </c>
      <c r="G602" s="3" t="str">
        <f>"00971869"</f>
        <v>00971869</v>
      </c>
    </row>
    <row r="603" spans="1:7" x14ac:dyDescent="0.25">
      <c r="A603" s="2">
        <v>602</v>
      </c>
      <c r="B603" s="3">
        <v>10993</v>
      </c>
      <c r="C603" s="5" t="s">
        <v>3788</v>
      </c>
      <c r="D603" s="5" t="s">
        <v>198</v>
      </c>
      <c r="E603" s="5" t="s">
        <v>87</v>
      </c>
      <c r="F603" s="3" t="s">
        <v>3789</v>
      </c>
      <c r="G603" s="3" t="str">
        <f>"01010848"</f>
        <v>01010848</v>
      </c>
    </row>
    <row r="604" spans="1:7" x14ac:dyDescent="0.25">
      <c r="A604" s="2">
        <v>603</v>
      </c>
      <c r="B604" s="3">
        <v>5067</v>
      </c>
      <c r="C604" s="5" t="s">
        <v>4182</v>
      </c>
      <c r="D604" s="5" t="s">
        <v>94</v>
      </c>
      <c r="E604" s="5" t="s">
        <v>2807</v>
      </c>
      <c r="F604" s="3" t="s">
        <v>4183</v>
      </c>
      <c r="G604" s="3" t="str">
        <f>"00442109"</f>
        <v>00442109</v>
      </c>
    </row>
    <row r="605" spans="1:7" x14ac:dyDescent="0.25">
      <c r="A605" s="2">
        <v>604</v>
      </c>
      <c r="B605" s="3">
        <v>9667</v>
      </c>
      <c r="C605" s="5" t="s">
        <v>95</v>
      </c>
      <c r="D605" s="5" t="s">
        <v>87</v>
      </c>
      <c r="E605" s="5" t="s">
        <v>44</v>
      </c>
      <c r="F605" s="3" t="s">
        <v>157</v>
      </c>
      <c r="G605" s="3" t="str">
        <f>"00984826"</f>
        <v>00984826</v>
      </c>
    </row>
    <row r="606" spans="1:7" x14ac:dyDescent="0.25">
      <c r="A606" s="2">
        <v>605</v>
      </c>
      <c r="B606" s="3">
        <v>12537</v>
      </c>
      <c r="C606" s="5" t="s">
        <v>95</v>
      </c>
      <c r="D606" s="5" t="s">
        <v>52</v>
      </c>
      <c r="E606" s="5" t="s">
        <v>1152</v>
      </c>
      <c r="F606" s="3" t="s">
        <v>630</v>
      </c>
      <c r="G606" s="3" t="str">
        <f>"01012845"</f>
        <v>01012845</v>
      </c>
    </row>
    <row r="607" spans="1:7" x14ac:dyDescent="0.25">
      <c r="A607" s="2">
        <v>606</v>
      </c>
      <c r="B607" s="3">
        <v>6467</v>
      </c>
      <c r="C607" s="5" t="s">
        <v>95</v>
      </c>
      <c r="D607" s="5" t="s">
        <v>52</v>
      </c>
      <c r="E607" s="5" t="s">
        <v>87</v>
      </c>
      <c r="F607" s="3" t="s">
        <v>1222</v>
      </c>
      <c r="G607" s="3" t="str">
        <f>"201409001155"</f>
        <v>201409001155</v>
      </c>
    </row>
    <row r="608" spans="1:7" x14ac:dyDescent="0.25">
      <c r="A608" s="2">
        <v>607</v>
      </c>
      <c r="B608" s="3">
        <v>3195</v>
      </c>
      <c r="C608" s="5" t="s">
        <v>95</v>
      </c>
      <c r="D608" s="5" t="s">
        <v>94</v>
      </c>
      <c r="E608" s="5" t="s">
        <v>667</v>
      </c>
      <c r="F608" s="3" t="s">
        <v>96</v>
      </c>
      <c r="G608" s="3" t="str">
        <f>"00372183"</f>
        <v>00372183</v>
      </c>
    </row>
    <row r="609" spans="1:7" x14ac:dyDescent="0.25">
      <c r="A609" s="2">
        <v>608</v>
      </c>
      <c r="B609" s="3">
        <v>10095</v>
      </c>
      <c r="C609" s="5" t="s">
        <v>95</v>
      </c>
      <c r="D609" s="5" t="s">
        <v>82</v>
      </c>
      <c r="E609" s="5" t="s">
        <v>263</v>
      </c>
      <c r="F609" s="3" t="s">
        <v>3918</v>
      </c>
      <c r="G609" s="3" t="str">
        <f>"00983430"</f>
        <v>00983430</v>
      </c>
    </row>
    <row r="610" spans="1:7" x14ac:dyDescent="0.25">
      <c r="A610" s="2">
        <v>609</v>
      </c>
      <c r="B610" s="3">
        <v>10362</v>
      </c>
      <c r="C610" s="5" t="s">
        <v>95</v>
      </c>
      <c r="D610" s="5" t="s">
        <v>14</v>
      </c>
      <c r="E610" s="5" t="s">
        <v>87</v>
      </c>
      <c r="F610" s="3" t="s">
        <v>1272</v>
      </c>
      <c r="G610" s="3" t="str">
        <f>"00978624"</f>
        <v>00978624</v>
      </c>
    </row>
    <row r="611" spans="1:7" x14ac:dyDescent="0.25">
      <c r="A611" s="2">
        <v>610</v>
      </c>
      <c r="B611" s="3">
        <v>7966</v>
      </c>
      <c r="C611" s="5" t="s">
        <v>22</v>
      </c>
      <c r="D611" s="5" t="s">
        <v>21</v>
      </c>
      <c r="E611" s="5" t="s">
        <v>11</v>
      </c>
      <c r="F611" s="3" t="s">
        <v>23</v>
      </c>
      <c r="G611" s="3" t="str">
        <f>"00040634"</f>
        <v>00040634</v>
      </c>
    </row>
    <row r="612" spans="1:7" x14ac:dyDescent="0.25">
      <c r="A612" s="2">
        <v>611</v>
      </c>
      <c r="B612" s="3">
        <v>2722</v>
      </c>
      <c r="C612" s="5" t="s">
        <v>22</v>
      </c>
      <c r="D612" s="5" t="s">
        <v>561</v>
      </c>
      <c r="E612" s="5" t="s">
        <v>52</v>
      </c>
      <c r="F612" s="3" t="s">
        <v>2160</v>
      </c>
      <c r="G612" s="3" t="str">
        <f>"01017261"</f>
        <v>01017261</v>
      </c>
    </row>
    <row r="613" spans="1:7" x14ac:dyDescent="0.25">
      <c r="A613" s="2">
        <v>612</v>
      </c>
      <c r="B613" s="3">
        <v>2026</v>
      </c>
      <c r="C613" s="5" t="s">
        <v>2834</v>
      </c>
      <c r="D613" s="5" t="s">
        <v>113</v>
      </c>
      <c r="E613" s="5" t="s">
        <v>87</v>
      </c>
      <c r="F613" s="3" t="s">
        <v>3848</v>
      </c>
      <c r="G613" s="3" t="str">
        <f>"00995134"</f>
        <v>00995134</v>
      </c>
    </row>
    <row r="614" spans="1:7" x14ac:dyDescent="0.25">
      <c r="A614" s="2">
        <v>613</v>
      </c>
      <c r="B614" s="3">
        <v>11911</v>
      </c>
      <c r="C614" s="5" t="s">
        <v>2834</v>
      </c>
      <c r="D614" s="5" t="s">
        <v>2341</v>
      </c>
      <c r="E614" s="5" t="s">
        <v>4870</v>
      </c>
      <c r="F614" s="3">
        <v>2015174</v>
      </c>
      <c r="G614" s="3" t="str">
        <f>"00546439"</f>
        <v>00546439</v>
      </c>
    </row>
    <row r="615" spans="1:7" x14ac:dyDescent="0.25">
      <c r="A615" s="2">
        <v>614</v>
      </c>
      <c r="B615" s="3">
        <v>4918</v>
      </c>
      <c r="C615" s="5" t="s">
        <v>2834</v>
      </c>
      <c r="D615" s="5" t="s">
        <v>52</v>
      </c>
      <c r="E615" s="5" t="s">
        <v>752</v>
      </c>
      <c r="F615" s="3" t="s">
        <v>3626</v>
      </c>
      <c r="G615" s="3" t="str">
        <f>"00975492"</f>
        <v>00975492</v>
      </c>
    </row>
    <row r="616" spans="1:7" x14ac:dyDescent="0.25">
      <c r="A616" s="2">
        <v>615</v>
      </c>
      <c r="B616" s="3">
        <v>5922</v>
      </c>
      <c r="C616" s="5" t="s">
        <v>2834</v>
      </c>
      <c r="D616" s="5" t="s">
        <v>2833</v>
      </c>
      <c r="E616" s="5" t="s">
        <v>11</v>
      </c>
      <c r="F616" s="3" t="s">
        <v>2835</v>
      </c>
      <c r="G616" s="3" t="str">
        <f>"00985581"</f>
        <v>00985581</v>
      </c>
    </row>
    <row r="617" spans="1:7" x14ac:dyDescent="0.25">
      <c r="A617" s="2">
        <v>616</v>
      </c>
      <c r="B617" s="3">
        <v>1603</v>
      </c>
      <c r="C617" s="5" t="s">
        <v>1934</v>
      </c>
      <c r="D617" s="5" t="s">
        <v>82</v>
      </c>
      <c r="E617" s="5" t="s">
        <v>44</v>
      </c>
      <c r="F617" s="3" t="s">
        <v>1935</v>
      </c>
      <c r="G617" s="3" t="str">
        <f>"00675294"</f>
        <v>00675294</v>
      </c>
    </row>
    <row r="618" spans="1:7" x14ac:dyDescent="0.25">
      <c r="A618" s="2">
        <v>617</v>
      </c>
      <c r="B618" s="3">
        <v>8647</v>
      </c>
      <c r="C618" s="5" t="s">
        <v>3047</v>
      </c>
      <c r="D618" s="5" t="s">
        <v>561</v>
      </c>
      <c r="E618" s="5" t="s">
        <v>63</v>
      </c>
      <c r="F618" s="3" t="s">
        <v>3048</v>
      </c>
      <c r="G618" s="3" t="str">
        <f>"201402002808"</f>
        <v>201402002808</v>
      </c>
    </row>
    <row r="619" spans="1:7" x14ac:dyDescent="0.25">
      <c r="A619" s="2">
        <v>618</v>
      </c>
      <c r="B619" s="3">
        <v>10643</v>
      </c>
      <c r="C619" s="5" t="s">
        <v>1754</v>
      </c>
      <c r="D619" s="5" t="s">
        <v>44</v>
      </c>
      <c r="E619" s="5" t="s">
        <v>207</v>
      </c>
      <c r="F619" s="3" t="s">
        <v>1755</v>
      </c>
      <c r="G619" s="3" t="str">
        <f>"01013864"</f>
        <v>01013864</v>
      </c>
    </row>
    <row r="620" spans="1:7" x14ac:dyDescent="0.25">
      <c r="A620" s="2">
        <v>619</v>
      </c>
      <c r="B620" s="3">
        <v>7761</v>
      </c>
      <c r="C620" s="5" t="s">
        <v>1287</v>
      </c>
      <c r="D620" s="5" t="s">
        <v>685</v>
      </c>
      <c r="E620" s="5" t="s">
        <v>87</v>
      </c>
      <c r="F620" s="3" t="s">
        <v>1288</v>
      </c>
      <c r="G620" s="3" t="str">
        <f>"00200927"</f>
        <v>00200927</v>
      </c>
    </row>
    <row r="621" spans="1:7" x14ac:dyDescent="0.25">
      <c r="A621" s="2">
        <v>620</v>
      </c>
      <c r="B621" s="3">
        <v>2021</v>
      </c>
      <c r="C621" s="5" t="s">
        <v>1561</v>
      </c>
      <c r="D621" s="5" t="s">
        <v>14</v>
      </c>
      <c r="E621" s="5" t="s">
        <v>11</v>
      </c>
      <c r="F621" s="3" t="s">
        <v>1562</v>
      </c>
      <c r="G621" s="3" t="str">
        <f>"01013946"</f>
        <v>01013946</v>
      </c>
    </row>
    <row r="622" spans="1:7" x14ac:dyDescent="0.25">
      <c r="A622" s="2">
        <v>621</v>
      </c>
      <c r="B622" s="3">
        <v>2022</v>
      </c>
      <c r="C622" s="5" t="s">
        <v>2579</v>
      </c>
      <c r="D622" s="5" t="s">
        <v>113</v>
      </c>
      <c r="E622" s="5" t="s">
        <v>113</v>
      </c>
      <c r="F622" s="3" t="s">
        <v>2580</v>
      </c>
      <c r="G622" s="3" t="str">
        <f>"00256150"</f>
        <v>00256150</v>
      </c>
    </row>
    <row r="623" spans="1:7" x14ac:dyDescent="0.25">
      <c r="A623" s="2">
        <v>622</v>
      </c>
      <c r="B623" s="3">
        <v>4307</v>
      </c>
      <c r="C623" s="5" t="s">
        <v>322</v>
      </c>
      <c r="D623" s="5" t="s">
        <v>11</v>
      </c>
      <c r="E623" s="5" t="s">
        <v>5</v>
      </c>
      <c r="F623" s="3">
        <v>15311</v>
      </c>
      <c r="G623" s="3" t="str">
        <f>"00816922"</f>
        <v>00816922</v>
      </c>
    </row>
    <row r="624" spans="1:7" x14ac:dyDescent="0.25">
      <c r="A624" s="2">
        <v>623</v>
      </c>
      <c r="B624" s="3">
        <v>8321</v>
      </c>
      <c r="C624" s="5" t="s">
        <v>1231</v>
      </c>
      <c r="D624" s="5" t="s">
        <v>1230</v>
      </c>
      <c r="E624" s="5" t="s">
        <v>32</v>
      </c>
      <c r="F624" s="3"/>
      <c r="G624" s="3" t="str">
        <f>"00892271"</f>
        <v>00892271</v>
      </c>
    </row>
    <row r="625" spans="1:7" x14ac:dyDescent="0.25">
      <c r="A625" s="2">
        <v>624</v>
      </c>
      <c r="B625" s="3">
        <v>1510</v>
      </c>
      <c r="C625" s="5" t="s">
        <v>3708</v>
      </c>
      <c r="D625" s="5" t="s">
        <v>198</v>
      </c>
      <c r="E625" s="5" t="s">
        <v>129</v>
      </c>
      <c r="F625" s="3" t="s">
        <v>3709</v>
      </c>
      <c r="G625" s="3" t="str">
        <f>"00458151"</f>
        <v>00458151</v>
      </c>
    </row>
    <row r="626" spans="1:7" x14ac:dyDescent="0.25">
      <c r="A626" s="2">
        <v>625</v>
      </c>
      <c r="B626" s="3">
        <v>12376</v>
      </c>
      <c r="C626" s="5" t="s">
        <v>1498</v>
      </c>
      <c r="D626" s="5" t="s">
        <v>503</v>
      </c>
      <c r="E626" s="5" t="s">
        <v>14</v>
      </c>
      <c r="F626" s="3" t="s">
        <v>1499</v>
      </c>
      <c r="G626" s="3" t="str">
        <f>"00165788"</f>
        <v>00165788</v>
      </c>
    </row>
    <row r="627" spans="1:7" x14ac:dyDescent="0.25">
      <c r="A627" s="2">
        <v>626</v>
      </c>
      <c r="B627" s="3">
        <v>11391</v>
      </c>
      <c r="C627" s="5" t="s">
        <v>2188</v>
      </c>
      <c r="D627" s="5" t="s">
        <v>87</v>
      </c>
      <c r="E627" s="5" t="s">
        <v>184</v>
      </c>
      <c r="F627" s="3" t="s">
        <v>2189</v>
      </c>
      <c r="G627" s="3" t="str">
        <f>"00009474"</f>
        <v>00009474</v>
      </c>
    </row>
    <row r="628" spans="1:7" x14ac:dyDescent="0.25">
      <c r="A628" s="2">
        <v>627</v>
      </c>
      <c r="B628" s="3">
        <v>10978</v>
      </c>
      <c r="C628" s="5" t="s">
        <v>978</v>
      </c>
      <c r="D628" s="5" t="s">
        <v>284</v>
      </c>
      <c r="E628" s="5" t="s">
        <v>52</v>
      </c>
      <c r="F628" s="3" t="s">
        <v>979</v>
      </c>
      <c r="G628" s="3" t="str">
        <f>"00933686"</f>
        <v>00933686</v>
      </c>
    </row>
    <row r="629" spans="1:7" x14ac:dyDescent="0.25">
      <c r="A629" s="2">
        <v>628</v>
      </c>
      <c r="B629" s="3">
        <v>7749</v>
      </c>
      <c r="C629" s="5" t="s">
        <v>3721</v>
      </c>
      <c r="D629" s="5" t="s">
        <v>900</v>
      </c>
      <c r="E629" s="5" t="s">
        <v>667</v>
      </c>
      <c r="F629" s="3" t="s">
        <v>3722</v>
      </c>
      <c r="G629" s="3" t="str">
        <f>"00469230"</f>
        <v>00469230</v>
      </c>
    </row>
    <row r="630" spans="1:7" x14ac:dyDescent="0.25">
      <c r="A630" s="2">
        <v>629</v>
      </c>
      <c r="B630" s="3">
        <v>10971</v>
      </c>
      <c r="C630" s="5" t="s">
        <v>2105</v>
      </c>
      <c r="D630" s="5" t="s">
        <v>548</v>
      </c>
      <c r="E630" s="5" t="s">
        <v>2076</v>
      </c>
      <c r="F630" s="3" t="s">
        <v>2106</v>
      </c>
      <c r="G630" s="3" t="str">
        <f>"00683461"</f>
        <v>00683461</v>
      </c>
    </row>
    <row r="631" spans="1:7" x14ac:dyDescent="0.25">
      <c r="A631" s="2">
        <v>630</v>
      </c>
      <c r="B631" s="3">
        <v>7491</v>
      </c>
      <c r="C631" s="5" t="s">
        <v>3664</v>
      </c>
      <c r="D631" s="5" t="s">
        <v>424</v>
      </c>
      <c r="E631" s="5" t="s">
        <v>87</v>
      </c>
      <c r="F631" s="3" t="s">
        <v>3665</v>
      </c>
      <c r="G631" s="3" t="str">
        <f>"00982970"</f>
        <v>00982970</v>
      </c>
    </row>
    <row r="632" spans="1:7" x14ac:dyDescent="0.25">
      <c r="A632" s="2">
        <v>631</v>
      </c>
      <c r="B632" s="3">
        <v>4809</v>
      </c>
      <c r="C632" s="5" t="s">
        <v>1458</v>
      </c>
      <c r="D632" s="5" t="s">
        <v>1457</v>
      </c>
      <c r="E632" s="5" t="s">
        <v>252</v>
      </c>
      <c r="F632" s="3" t="s">
        <v>1459</v>
      </c>
      <c r="G632" s="3" t="str">
        <f>"00890845"</f>
        <v>00890845</v>
      </c>
    </row>
    <row r="633" spans="1:7" x14ac:dyDescent="0.25">
      <c r="A633" s="2">
        <v>632</v>
      </c>
      <c r="B633" s="3">
        <v>12298</v>
      </c>
      <c r="C633" s="5" t="s">
        <v>3381</v>
      </c>
      <c r="D633" s="5" t="s">
        <v>198</v>
      </c>
      <c r="E633" s="5" t="s">
        <v>1488</v>
      </c>
      <c r="F633" s="3" t="s">
        <v>3382</v>
      </c>
      <c r="G633" s="3" t="str">
        <f>"00829364"</f>
        <v>00829364</v>
      </c>
    </row>
    <row r="634" spans="1:7" x14ac:dyDescent="0.25">
      <c r="A634" s="2">
        <v>633</v>
      </c>
      <c r="B634" s="3">
        <v>3434</v>
      </c>
      <c r="C634" s="5" t="s">
        <v>458</v>
      </c>
      <c r="D634" s="5" t="s">
        <v>457</v>
      </c>
      <c r="E634" s="5" t="s">
        <v>87</v>
      </c>
      <c r="F634" s="3" t="s">
        <v>459</v>
      </c>
      <c r="G634" s="3" t="str">
        <f>"00009237"</f>
        <v>00009237</v>
      </c>
    </row>
    <row r="635" spans="1:7" x14ac:dyDescent="0.25">
      <c r="A635" s="2">
        <v>634</v>
      </c>
      <c r="B635" s="3">
        <v>5993</v>
      </c>
      <c r="C635" s="5" t="s">
        <v>111</v>
      </c>
      <c r="D635" s="5" t="s">
        <v>110</v>
      </c>
      <c r="E635" s="5" t="s">
        <v>87</v>
      </c>
      <c r="F635" s="3" t="s">
        <v>112</v>
      </c>
      <c r="G635" s="3" t="str">
        <f>"01016535"</f>
        <v>01016535</v>
      </c>
    </row>
    <row r="636" spans="1:7" x14ac:dyDescent="0.25">
      <c r="A636" s="2">
        <v>635</v>
      </c>
      <c r="B636" s="3">
        <v>12591</v>
      </c>
      <c r="C636" s="5" t="s">
        <v>1210</v>
      </c>
      <c r="D636" s="5" t="s">
        <v>126</v>
      </c>
      <c r="E636" s="5" t="s">
        <v>184</v>
      </c>
      <c r="F636" s="3" t="s">
        <v>1211</v>
      </c>
      <c r="G636" s="3" t="str">
        <f>"00554962"</f>
        <v>00554962</v>
      </c>
    </row>
    <row r="637" spans="1:7" x14ac:dyDescent="0.25">
      <c r="A637" s="2">
        <v>636</v>
      </c>
      <c r="B637" s="3">
        <v>3285</v>
      </c>
      <c r="C637" s="5" t="s">
        <v>4543</v>
      </c>
      <c r="D637" s="5" t="s">
        <v>503</v>
      </c>
      <c r="E637" s="5" t="s">
        <v>87</v>
      </c>
      <c r="F637" s="3" t="s">
        <v>4544</v>
      </c>
      <c r="G637" s="3" t="str">
        <f>"01016513"</f>
        <v>01016513</v>
      </c>
    </row>
    <row r="638" spans="1:7" x14ac:dyDescent="0.25">
      <c r="A638" s="2">
        <v>637</v>
      </c>
      <c r="B638" s="3">
        <v>5314</v>
      </c>
      <c r="C638" s="5" t="s">
        <v>3145</v>
      </c>
      <c r="D638" s="5" t="s">
        <v>84</v>
      </c>
      <c r="E638" s="5" t="s">
        <v>32</v>
      </c>
      <c r="F638" s="3" t="s">
        <v>3146</v>
      </c>
      <c r="G638" s="3" t="str">
        <f>"00888158"</f>
        <v>00888158</v>
      </c>
    </row>
    <row r="639" spans="1:7" x14ac:dyDescent="0.25">
      <c r="A639" s="2">
        <v>638</v>
      </c>
      <c r="B639" s="3">
        <v>6581</v>
      </c>
      <c r="C639" s="5" t="s">
        <v>2366</v>
      </c>
      <c r="D639" s="5" t="s">
        <v>2365</v>
      </c>
      <c r="E639" s="5" t="s">
        <v>129</v>
      </c>
      <c r="F639" s="3" t="s">
        <v>2367</v>
      </c>
      <c r="G639" s="3" t="str">
        <f>"00728382"</f>
        <v>00728382</v>
      </c>
    </row>
    <row r="640" spans="1:7" x14ac:dyDescent="0.25">
      <c r="A640" s="2">
        <v>639</v>
      </c>
      <c r="B640" s="3">
        <v>3923</v>
      </c>
      <c r="C640" s="5" t="s">
        <v>727</v>
      </c>
      <c r="D640" s="5" t="s">
        <v>129</v>
      </c>
      <c r="E640" s="5" t="s">
        <v>207</v>
      </c>
      <c r="F640" s="3" t="s">
        <v>728</v>
      </c>
      <c r="G640" s="3" t="str">
        <f>"201511006906"</f>
        <v>201511006906</v>
      </c>
    </row>
    <row r="641" spans="1:7" x14ac:dyDescent="0.25">
      <c r="A641" s="2">
        <v>640</v>
      </c>
      <c r="B641" s="3">
        <v>11839</v>
      </c>
      <c r="C641" s="5" t="s">
        <v>1293</v>
      </c>
      <c r="D641" s="5" t="s">
        <v>1292</v>
      </c>
      <c r="E641" s="5" t="s">
        <v>14</v>
      </c>
      <c r="F641" s="3" t="s">
        <v>1294</v>
      </c>
      <c r="G641" s="3" t="str">
        <f>"00973795"</f>
        <v>00973795</v>
      </c>
    </row>
    <row r="642" spans="1:7" x14ac:dyDescent="0.25">
      <c r="A642" s="2">
        <v>641</v>
      </c>
      <c r="B642" s="3">
        <v>3787</v>
      </c>
      <c r="C642" s="5" t="s">
        <v>4410</v>
      </c>
      <c r="D642" s="5" t="s">
        <v>52</v>
      </c>
      <c r="E642" s="5" t="s">
        <v>635</v>
      </c>
      <c r="F642" s="3" t="s">
        <v>4411</v>
      </c>
      <c r="G642" s="3" t="str">
        <f>"00740104"</f>
        <v>00740104</v>
      </c>
    </row>
    <row r="643" spans="1:7" x14ac:dyDescent="0.25">
      <c r="A643" s="2">
        <v>642</v>
      </c>
      <c r="B643" s="3">
        <v>7883</v>
      </c>
      <c r="C643" s="5" t="s">
        <v>2676</v>
      </c>
      <c r="D643" s="5" t="s">
        <v>5</v>
      </c>
      <c r="E643" s="5" t="s">
        <v>87</v>
      </c>
      <c r="F643" s="3">
        <v>711136011</v>
      </c>
      <c r="G643" s="3" t="str">
        <f>"00924102"</f>
        <v>00924102</v>
      </c>
    </row>
    <row r="644" spans="1:7" x14ac:dyDescent="0.25">
      <c r="A644" s="2">
        <v>643</v>
      </c>
      <c r="B644" s="3">
        <v>141</v>
      </c>
      <c r="C644" s="5" t="s">
        <v>854</v>
      </c>
      <c r="D644" s="5" t="s">
        <v>853</v>
      </c>
      <c r="E644" s="5" t="s">
        <v>11</v>
      </c>
      <c r="F644" s="3" t="s">
        <v>855</v>
      </c>
      <c r="G644" s="3" t="str">
        <f>"00845146"</f>
        <v>00845146</v>
      </c>
    </row>
    <row r="645" spans="1:7" x14ac:dyDescent="0.25">
      <c r="A645" s="2">
        <v>644</v>
      </c>
      <c r="B645" s="3">
        <v>655</v>
      </c>
      <c r="C645" s="5" t="s">
        <v>3706</v>
      </c>
      <c r="D645" s="5" t="s">
        <v>1903</v>
      </c>
      <c r="E645" s="5" t="s">
        <v>63</v>
      </c>
      <c r="F645" s="3" t="s">
        <v>3707</v>
      </c>
      <c r="G645" s="3" t="str">
        <f>"00980291"</f>
        <v>00980291</v>
      </c>
    </row>
    <row r="646" spans="1:7" x14ac:dyDescent="0.25">
      <c r="A646" s="2">
        <v>645</v>
      </c>
      <c r="B646" s="3">
        <v>8322</v>
      </c>
      <c r="C646" s="5" t="s">
        <v>3773</v>
      </c>
      <c r="D646" s="5" t="s">
        <v>63</v>
      </c>
      <c r="E646" s="5" t="s">
        <v>129</v>
      </c>
      <c r="F646" s="3" t="s">
        <v>3774</v>
      </c>
      <c r="G646" s="3" t="str">
        <f>"00986962"</f>
        <v>00986962</v>
      </c>
    </row>
    <row r="647" spans="1:7" x14ac:dyDescent="0.25">
      <c r="A647" s="2">
        <v>646</v>
      </c>
      <c r="B647" s="3">
        <v>208</v>
      </c>
      <c r="C647" s="5" t="s">
        <v>1920</v>
      </c>
      <c r="D647" s="5" t="s">
        <v>27</v>
      </c>
      <c r="E647" s="5" t="s">
        <v>129</v>
      </c>
      <c r="F647" s="3" t="s">
        <v>1921</v>
      </c>
      <c r="G647" s="3" t="str">
        <f>"00833882"</f>
        <v>00833882</v>
      </c>
    </row>
    <row r="648" spans="1:7" x14ac:dyDescent="0.25">
      <c r="A648" s="2">
        <v>647</v>
      </c>
      <c r="B648" s="3">
        <v>9511</v>
      </c>
      <c r="C648" s="5" t="s">
        <v>1475</v>
      </c>
      <c r="D648" s="5" t="s">
        <v>52</v>
      </c>
      <c r="E648" s="5" t="s">
        <v>44</v>
      </c>
      <c r="F648" s="3" t="s">
        <v>1676</v>
      </c>
      <c r="G648" s="3" t="str">
        <f>"00084763"</f>
        <v>00084763</v>
      </c>
    </row>
    <row r="649" spans="1:7" x14ac:dyDescent="0.25">
      <c r="A649" s="2">
        <v>648</v>
      </c>
      <c r="B649" s="3">
        <v>1265</v>
      </c>
      <c r="C649" s="5" t="s">
        <v>1475</v>
      </c>
      <c r="D649" s="5" t="s">
        <v>14</v>
      </c>
      <c r="E649" s="5" t="s">
        <v>252</v>
      </c>
      <c r="F649" s="3">
        <v>15103</v>
      </c>
      <c r="G649" s="3" t="str">
        <f>"00890775"</f>
        <v>00890775</v>
      </c>
    </row>
    <row r="650" spans="1:7" x14ac:dyDescent="0.25">
      <c r="A650" s="2">
        <v>649</v>
      </c>
      <c r="B650" s="3">
        <v>12572</v>
      </c>
      <c r="C650" s="5" t="s">
        <v>1475</v>
      </c>
      <c r="D650" s="5" t="s">
        <v>129</v>
      </c>
      <c r="E650" s="5" t="s">
        <v>5</v>
      </c>
      <c r="F650" s="3" t="s">
        <v>1476</v>
      </c>
      <c r="G650" s="3" t="str">
        <f>"00023223"</f>
        <v>00023223</v>
      </c>
    </row>
    <row r="651" spans="1:7" x14ac:dyDescent="0.25">
      <c r="A651" s="2">
        <v>650</v>
      </c>
      <c r="B651" s="3">
        <v>3465</v>
      </c>
      <c r="C651" s="5" t="s">
        <v>320</v>
      </c>
      <c r="D651" s="5" t="s">
        <v>87</v>
      </c>
      <c r="E651" s="5" t="s">
        <v>2786</v>
      </c>
      <c r="F651" s="3" t="s">
        <v>321</v>
      </c>
      <c r="G651" s="3" t="str">
        <f>"00329260"</f>
        <v>00329260</v>
      </c>
    </row>
    <row r="652" spans="1:7" x14ac:dyDescent="0.25">
      <c r="A652" s="2">
        <v>651</v>
      </c>
      <c r="B652" s="3">
        <v>2750</v>
      </c>
      <c r="C652" s="5" t="s">
        <v>3571</v>
      </c>
      <c r="D652" s="5" t="s">
        <v>198</v>
      </c>
      <c r="E652" s="5" t="s">
        <v>38</v>
      </c>
      <c r="F652" s="3" t="s">
        <v>3572</v>
      </c>
      <c r="G652" s="3" t="str">
        <f>"00897715"</f>
        <v>00897715</v>
      </c>
    </row>
    <row r="653" spans="1:7" x14ac:dyDescent="0.25">
      <c r="A653" s="2">
        <v>652</v>
      </c>
      <c r="B653" s="3">
        <v>10688</v>
      </c>
      <c r="C653" s="5" t="s">
        <v>3678</v>
      </c>
      <c r="D653" s="5" t="s">
        <v>32</v>
      </c>
      <c r="E653" s="5" t="s">
        <v>129</v>
      </c>
      <c r="F653" s="3" t="s">
        <v>3679</v>
      </c>
      <c r="G653" s="3" t="str">
        <f>"01016812"</f>
        <v>01016812</v>
      </c>
    </row>
    <row r="654" spans="1:7" x14ac:dyDescent="0.25">
      <c r="A654" s="2">
        <v>653</v>
      </c>
      <c r="B654" s="3">
        <v>428</v>
      </c>
      <c r="C654" s="5" t="s">
        <v>3413</v>
      </c>
      <c r="D654" s="5" t="s">
        <v>126</v>
      </c>
      <c r="E654" s="5" t="s">
        <v>129</v>
      </c>
      <c r="F654" s="3" t="s">
        <v>3414</v>
      </c>
      <c r="G654" s="3" t="str">
        <f>"00911813"</f>
        <v>00911813</v>
      </c>
    </row>
    <row r="655" spans="1:7" x14ac:dyDescent="0.25">
      <c r="A655" s="2">
        <v>654</v>
      </c>
      <c r="B655" s="3">
        <v>927</v>
      </c>
      <c r="C655" s="5" t="s">
        <v>4710</v>
      </c>
      <c r="D655" s="5" t="s">
        <v>3509</v>
      </c>
      <c r="E655" s="5" t="s">
        <v>11</v>
      </c>
      <c r="F655" s="3" t="s">
        <v>4711</v>
      </c>
      <c r="G655" s="3" t="str">
        <f>"01000786"</f>
        <v>01000786</v>
      </c>
    </row>
    <row r="656" spans="1:7" x14ac:dyDescent="0.25">
      <c r="A656" s="2">
        <v>655</v>
      </c>
      <c r="B656" s="3">
        <v>7561</v>
      </c>
      <c r="C656" s="5" t="s">
        <v>2513</v>
      </c>
      <c r="D656" s="5" t="s">
        <v>113</v>
      </c>
      <c r="E656" s="5" t="s">
        <v>667</v>
      </c>
      <c r="F656" s="3" t="s">
        <v>2514</v>
      </c>
      <c r="G656" s="3" t="str">
        <f>"00986835"</f>
        <v>00986835</v>
      </c>
    </row>
    <row r="657" spans="1:7" x14ac:dyDescent="0.25">
      <c r="A657" s="2">
        <v>656</v>
      </c>
      <c r="B657" s="3">
        <v>9374</v>
      </c>
      <c r="C657" s="5" t="s">
        <v>4458</v>
      </c>
      <c r="D657" s="5" t="s">
        <v>113</v>
      </c>
      <c r="E657" s="5" t="s">
        <v>14</v>
      </c>
      <c r="F657" s="3" t="s">
        <v>4459</v>
      </c>
      <c r="G657" s="3" t="str">
        <f>"00933897"</f>
        <v>00933897</v>
      </c>
    </row>
    <row r="658" spans="1:7" x14ac:dyDescent="0.25">
      <c r="A658" s="2">
        <v>657</v>
      </c>
      <c r="B658" s="3">
        <v>9956</v>
      </c>
      <c r="C658" s="5" t="s">
        <v>4458</v>
      </c>
      <c r="D658" s="5" t="s">
        <v>32</v>
      </c>
      <c r="E658" s="5" t="s">
        <v>14</v>
      </c>
      <c r="F658" s="3" t="s">
        <v>4552</v>
      </c>
      <c r="G658" s="3" t="str">
        <f>"00837520"</f>
        <v>00837520</v>
      </c>
    </row>
    <row r="659" spans="1:7" x14ac:dyDescent="0.25">
      <c r="A659" s="2">
        <v>658</v>
      </c>
      <c r="B659" s="3">
        <v>11969</v>
      </c>
      <c r="C659" s="5" t="s">
        <v>2149</v>
      </c>
      <c r="D659" s="5" t="s">
        <v>70</v>
      </c>
      <c r="E659" s="5" t="s">
        <v>667</v>
      </c>
      <c r="F659" s="3" t="s">
        <v>2150</v>
      </c>
      <c r="G659" s="3" t="str">
        <f>"00969642"</f>
        <v>00969642</v>
      </c>
    </row>
    <row r="660" spans="1:7" x14ac:dyDescent="0.25">
      <c r="A660" s="2">
        <v>659</v>
      </c>
      <c r="B660" s="3">
        <v>5903</v>
      </c>
      <c r="C660" s="5" t="s">
        <v>3849</v>
      </c>
      <c r="D660" s="5" t="s">
        <v>87</v>
      </c>
      <c r="E660" s="5" t="s">
        <v>129</v>
      </c>
      <c r="F660" s="3" t="s">
        <v>3850</v>
      </c>
      <c r="G660" s="3" t="str">
        <f>"00983999"</f>
        <v>00983999</v>
      </c>
    </row>
    <row r="661" spans="1:7" x14ac:dyDescent="0.25">
      <c r="A661" s="2">
        <v>660</v>
      </c>
      <c r="B661" s="3">
        <v>7355</v>
      </c>
      <c r="C661" s="5" t="s">
        <v>670</v>
      </c>
      <c r="D661" s="5" t="s">
        <v>129</v>
      </c>
      <c r="E661" s="5" t="s">
        <v>14</v>
      </c>
      <c r="F661" s="3" t="s">
        <v>671</v>
      </c>
      <c r="G661" s="3" t="str">
        <f>"00774959"</f>
        <v>00774959</v>
      </c>
    </row>
    <row r="662" spans="1:7" x14ac:dyDescent="0.25">
      <c r="A662" s="2">
        <v>661</v>
      </c>
      <c r="B662" s="3">
        <v>10312</v>
      </c>
      <c r="C662" s="5" t="s">
        <v>804</v>
      </c>
      <c r="D662" s="5" t="s">
        <v>803</v>
      </c>
      <c r="E662" s="5" t="s">
        <v>44</v>
      </c>
      <c r="F662" s="3" t="s">
        <v>805</v>
      </c>
      <c r="G662" s="3" t="str">
        <f>"00975797"</f>
        <v>00975797</v>
      </c>
    </row>
    <row r="663" spans="1:7" x14ac:dyDescent="0.25">
      <c r="A663" s="2">
        <v>662</v>
      </c>
      <c r="B663" s="3">
        <v>11429</v>
      </c>
      <c r="C663" s="5" t="s">
        <v>804</v>
      </c>
      <c r="D663" s="5" t="s">
        <v>490</v>
      </c>
      <c r="E663" s="5" t="s">
        <v>372</v>
      </c>
      <c r="F663" s="3" t="s">
        <v>3355</v>
      </c>
      <c r="G663" s="3" t="str">
        <f>"01004058"</f>
        <v>01004058</v>
      </c>
    </row>
    <row r="664" spans="1:7" x14ac:dyDescent="0.25">
      <c r="A664" s="2">
        <v>663</v>
      </c>
      <c r="B664" s="3">
        <v>6588</v>
      </c>
      <c r="C664" s="5" t="s">
        <v>3395</v>
      </c>
      <c r="D664" s="5" t="s">
        <v>284</v>
      </c>
      <c r="E664" s="5" t="s">
        <v>532</v>
      </c>
      <c r="F664" s="3" t="s">
        <v>3396</v>
      </c>
      <c r="G664" s="3" t="str">
        <f>"01011680"</f>
        <v>01011680</v>
      </c>
    </row>
    <row r="665" spans="1:7" x14ac:dyDescent="0.25">
      <c r="A665" s="2">
        <v>664</v>
      </c>
      <c r="B665" s="3">
        <v>297</v>
      </c>
      <c r="C665" s="5" t="s">
        <v>4499</v>
      </c>
      <c r="D665" s="5" t="s">
        <v>4498</v>
      </c>
      <c r="E665" s="5" t="s">
        <v>11</v>
      </c>
      <c r="F665" s="3" t="s">
        <v>4500</v>
      </c>
      <c r="G665" s="3" t="str">
        <f>"00690593"</f>
        <v>00690593</v>
      </c>
    </row>
    <row r="666" spans="1:7" x14ac:dyDescent="0.25">
      <c r="A666" s="2">
        <v>665</v>
      </c>
      <c r="B666" s="3">
        <v>11992</v>
      </c>
      <c r="C666" s="5" t="s">
        <v>33</v>
      </c>
      <c r="D666" s="5" t="s">
        <v>32</v>
      </c>
      <c r="E666" s="5" t="s">
        <v>44</v>
      </c>
      <c r="F666" s="3" t="s">
        <v>34</v>
      </c>
      <c r="G666" s="3" t="str">
        <f>"201410002414"</f>
        <v>201410002414</v>
      </c>
    </row>
    <row r="667" spans="1:7" x14ac:dyDescent="0.25">
      <c r="A667" s="2">
        <v>666</v>
      </c>
      <c r="B667" s="3">
        <v>103</v>
      </c>
      <c r="C667" s="5" t="s">
        <v>33</v>
      </c>
      <c r="D667" s="5" t="s">
        <v>44</v>
      </c>
      <c r="E667" s="5" t="s">
        <v>635</v>
      </c>
      <c r="F667" s="3" t="s">
        <v>3412</v>
      </c>
      <c r="G667" s="3" t="str">
        <f>"00196295"</f>
        <v>00196295</v>
      </c>
    </row>
    <row r="668" spans="1:7" x14ac:dyDescent="0.25">
      <c r="A668" s="2">
        <v>667</v>
      </c>
      <c r="B668" s="3">
        <v>7944</v>
      </c>
      <c r="C668" s="5" t="s">
        <v>33</v>
      </c>
      <c r="D668" s="5" t="s">
        <v>1023</v>
      </c>
      <c r="E668" s="5" t="s">
        <v>667</v>
      </c>
      <c r="F668" s="3" t="s">
        <v>2428</v>
      </c>
      <c r="G668" s="3" t="str">
        <f>"00442097"</f>
        <v>00442097</v>
      </c>
    </row>
    <row r="669" spans="1:7" x14ac:dyDescent="0.25">
      <c r="A669" s="2">
        <v>668</v>
      </c>
      <c r="B669" s="3">
        <v>2596</v>
      </c>
      <c r="C669" s="5" t="s">
        <v>642</v>
      </c>
      <c r="D669" s="5" t="s">
        <v>641</v>
      </c>
      <c r="E669" s="5" t="s">
        <v>87</v>
      </c>
      <c r="F669" s="3" t="s">
        <v>643</v>
      </c>
      <c r="G669" s="3" t="str">
        <f>"01011712"</f>
        <v>01011712</v>
      </c>
    </row>
    <row r="670" spans="1:7" x14ac:dyDescent="0.25">
      <c r="A670" s="2">
        <v>669</v>
      </c>
      <c r="B670" s="3">
        <v>8305</v>
      </c>
      <c r="C670" s="5" t="s">
        <v>3547</v>
      </c>
      <c r="D670" s="5" t="s">
        <v>3546</v>
      </c>
      <c r="E670" s="5" t="s">
        <v>3042</v>
      </c>
      <c r="F670" s="3" t="s">
        <v>3548</v>
      </c>
      <c r="G670" s="3" t="str">
        <f>"01016947"</f>
        <v>01016947</v>
      </c>
    </row>
    <row r="671" spans="1:7" x14ac:dyDescent="0.25">
      <c r="A671" s="2">
        <v>670</v>
      </c>
      <c r="B671" s="3">
        <v>4372</v>
      </c>
      <c r="C671" s="5" t="s">
        <v>1455</v>
      </c>
      <c r="D671" s="5" t="s">
        <v>1454</v>
      </c>
      <c r="E671" s="5" t="s">
        <v>4823</v>
      </c>
      <c r="F671" s="3" t="s">
        <v>1456</v>
      </c>
      <c r="G671" s="3" t="str">
        <f>"00932816"</f>
        <v>00932816</v>
      </c>
    </row>
    <row r="672" spans="1:7" x14ac:dyDescent="0.25">
      <c r="A672" s="2">
        <v>671</v>
      </c>
      <c r="B672" s="3">
        <v>1820</v>
      </c>
      <c r="C672" s="5" t="s">
        <v>2018</v>
      </c>
      <c r="D672" s="5" t="s">
        <v>2017</v>
      </c>
      <c r="E672" s="5" t="s">
        <v>41</v>
      </c>
      <c r="F672" s="3" t="s">
        <v>2019</v>
      </c>
      <c r="G672" s="3" t="str">
        <f>"01012598"</f>
        <v>01012598</v>
      </c>
    </row>
    <row r="673" spans="1:7" x14ac:dyDescent="0.25">
      <c r="A673" s="2">
        <v>672</v>
      </c>
      <c r="B673" s="3">
        <v>3112</v>
      </c>
      <c r="C673" s="5" t="s">
        <v>1410</v>
      </c>
      <c r="D673" s="5" t="s">
        <v>52</v>
      </c>
      <c r="E673" s="5" t="s">
        <v>5</v>
      </c>
      <c r="F673" s="3" t="s">
        <v>1411</v>
      </c>
      <c r="G673" s="3" t="str">
        <f>"01001151"</f>
        <v>01001151</v>
      </c>
    </row>
    <row r="674" spans="1:7" x14ac:dyDescent="0.25">
      <c r="A674" s="2">
        <v>673</v>
      </c>
      <c r="B674" s="3">
        <v>5956</v>
      </c>
      <c r="C674" s="5" t="s">
        <v>2804</v>
      </c>
      <c r="D674" s="5" t="s">
        <v>252</v>
      </c>
      <c r="E674" s="5" t="s">
        <v>94</v>
      </c>
      <c r="F674" s="3" t="s">
        <v>2805</v>
      </c>
      <c r="G674" s="3" t="str">
        <f>"01012010"</f>
        <v>01012010</v>
      </c>
    </row>
    <row r="675" spans="1:7" x14ac:dyDescent="0.25">
      <c r="A675" s="2">
        <v>674</v>
      </c>
      <c r="B675" s="3">
        <v>9706</v>
      </c>
      <c r="C675" s="5" t="s">
        <v>1532</v>
      </c>
      <c r="D675" s="5" t="s">
        <v>1531</v>
      </c>
      <c r="E675" s="5" t="s">
        <v>252</v>
      </c>
      <c r="F675" s="3" t="s">
        <v>1533</v>
      </c>
      <c r="G675" s="3" t="str">
        <f>"00485275"</f>
        <v>00485275</v>
      </c>
    </row>
    <row r="676" spans="1:7" x14ac:dyDescent="0.25">
      <c r="A676" s="2">
        <v>675</v>
      </c>
      <c r="B676" s="3">
        <v>4861</v>
      </c>
      <c r="C676" s="5" t="s">
        <v>2536</v>
      </c>
      <c r="D676" s="5" t="s">
        <v>5</v>
      </c>
      <c r="E676" s="5" t="s">
        <v>4858</v>
      </c>
      <c r="F676" s="3" t="s">
        <v>2537</v>
      </c>
      <c r="G676" s="3" t="str">
        <f>"00878912"</f>
        <v>00878912</v>
      </c>
    </row>
    <row r="677" spans="1:7" x14ac:dyDescent="0.25">
      <c r="A677" s="2">
        <v>676</v>
      </c>
      <c r="B677" s="3">
        <v>8478</v>
      </c>
      <c r="C677" s="5" t="s">
        <v>449</v>
      </c>
      <c r="D677" s="5" t="s">
        <v>44</v>
      </c>
      <c r="E677" s="5" t="s">
        <v>87</v>
      </c>
      <c r="F677" s="3" t="s">
        <v>450</v>
      </c>
      <c r="G677" s="3" t="str">
        <f>"00119234"</f>
        <v>00119234</v>
      </c>
    </row>
    <row r="678" spans="1:7" x14ac:dyDescent="0.25">
      <c r="A678" s="2">
        <v>677</v>
      </c>
      <c r="B678" s="3">
        <v>3385</v>
      </c>
      <c r="C678" s="5" t="s">
        <v>3952</v>
      </c>
      <c r="D678" s="5" t="s">
        <v>129</v>
      </c>
      <c r="E678" s="5" t="s">
        <v>207</v>
      </c>
      <c r="F678" s="3" t="s">
        <v>3953</v>
      </c>
      <c r="G678" s="3" t="str">
        <f>"01017148"</f>
        <v>01017148</v>
      </c>
    </row>
    <row r="679" spans="1:7" x14ac:dyDescent="0.25">
      <c r="A679" s="2">
        <v>678</v>
      </c>
      <c r="B679" s="3">
        <v>12533</v>
      </c>
      <c r="C679" s="5" t="s">
        <v>2231</v>
      </c>
      <c r="D679" s="5" t="s">
        <v>667</v>
      </c>
      <c r="E679" s="5" t="s">
        <v>52</v>
      </c>
      <c r="F679" s="3" t="s">
        <v>2232</v>
      </c>
      <c r="G679" s="3" t="str">
        <f>"00305288"</f>
        <v>00305288</v>
      </c>
    </row>
    <row r="680" spans="1:7" x14ac:dyDescent="0.25">
      <c r="A680" s="2">
        <v>679</v>
      </c>
      <c r="B680" s="3">
        <v>1963</v>
      </c>
      <c r="C680" s="5" t="s">
        <v>2231</v>
      </c>
      <c r="D680" s="5" t="s">
        <v>52</v>
      </c>
      <c r="E680" s="5" t="s">
        <v>44</v>
      </c>
      <c r="F680" s="3" t="s">
        <v>2623</v>
      </c>
      <c r="G680" s="3" t="str">
        <f>"00983780"</f>
        <v>00983780</v>
      </c>
    </row>
    <row r="681" spans="1:7" x14ac:dyDescent="0.25">
      <c r="A681" s="2">
        <v>680</v>
      </c>
      <c r="B681" s="3">
        <v>8354</v>
      </c>
      <c r="C681" s="5" t="s">
        <v>3587</v>
      </c>
      <c r="D681" s="5" t="s">
        <v>2017</v>
      </c>
      <c r="E681" s="5" t="s">
        <v>214</v>
      </c>
      <c r="F681" s="3" t="s">
        <v>3588</v>
      </c>
      <c r="G681" s="3" t="str">
        <f>"00986095"</f>
        <v>00986095</v>
      </c>
    </row>
    <row r="682" spans="1:7" x14ac:dyDescent="0.25">
      <c r="A682" s="2">
        <v>681</v>
      </c>
      <c r="B682" s="3">
        <v>13031</v>
      </c>
      <c r="C682" s="5" t="s">
        <v>1593</v>
      </c>
      <c r="D682" s="5" t="s">
        <v>1592</v>
      </c>
      <c r="E682" s="5" t="s">
        <v>52</v>
      </c>
      <c r="F682" s="3" t="s">
        <v>1594</v>
      </c>
      <c r="G682" s="3" t="str">
        <f>"00981468"</f>
        <v>00981468</v>
      </c>
    </row>
    <row r="683" spans="1:7" x14ac:dyDescent="0.25">
      <c r="A683" s="2">
        <v>682</v>
      </c>
      <c r="B683" s="3">
        <v>5763</v>
      </c>
      <c r="C683" s="5" t="s">
        <v>1660</v>
      </c>
      <c r="D683" s="5" t="s">
        <v>38</v>
      </c>
      <c r="E683" s="5" t="s">
        <v>5</v>
      </c>
      <c r="F683" s="3" t="s">
        <v>1661</v>
      </c>
      <c r="G683" s="3" t="str">
        <f>"01016510"</f>
        <v>01016510</v>
      </c>
    </row>
    <row r="684" spans="1:7" x14ac:dyDescent="0.25">
      <c r="A684" s="2">
        <v>683</v>
      </c>
      <c r="B684" s="3">
        <v>12642</v>
      </c>
      <c r="C684" s="5" t="s">
        <v>4496</v>
      </c>
      <c r="D684" s="5" t="s">
        <v>14</v>
      </c>
      <c r="E684" s="5" t="s">
        <v>3619</v>
      </c>
      <c r="F684" s="3" t="s">
        <v>4497</v>
      </c>
      <c r="G684" s="3" t="str">
        <f>"00983708"</f>
        <v>00983708</v>
      </c>
    </row>
    <row r="685" spans="1:7" x14ac:dyDescent="0.25">
      <c r="A685" s="2">
        <v>684</v>
      </c>
      <c r="B685" s="3">
        <v>3879</v>
      </c>
      <c r="C685" s="5" t="s">
        <v>4642</v>
      </c>
      <c r="D685" s="5" t="s">
        <v>32</v>
      </c>
      <c r="E685" s="5" t="s">
        <v>667</v>
      </c>
      <c r="F685" s="3" t="s">
        <v>4643</v>
      </c>
      <c r="G685" s="3" t="str">
        <f>"00657292"</f>
        <v>00657292</v>
      </c>
    </row>
    <row r="686" spans="1:7" x14ac:dyDescent="0.25">
      <c r="A686" s="2">
        <v>685</v>
      </c>
      <c r="B686" s="3">
        <v>7028</v>
      </c>
      <c r="C686" s="5" t="s">
        <v>3203</v>
      </c>
      <c r="D686" s="5" t="s">
        <v>366</v>
      </c>
      <c r="E686" s="5" t="s">
        <v>167</v>
      </c>
      <c r="F686" s="3" t="s">
        <v>3204</v>
      </c>
      <c r="G686" s="3" t="str">
        <f>"01011067"</f>
        <v>01011067</v>
      </c>
    </row>
    <row r="687" spans="1:7" x14ac:dyDescent="0.25">
      <c r="A687" s="2">
        <v>686</v>
      </c>
      <c r="B687" s="3">
        <v>6452</v>
      </c>
      <c r="C687" s="5" t="s">
        <v>114</v>
      </c>
      <c r="D687" s="5" t="s">
        <v>113</v>
      </c>
      <c r="E687" s="5" t="s">
        <v>63</v>
      </c>
      <c r="F687" s="3">
        <v>24363</v>
      </c>
      <c r="G687" s="3" t="str">
        <f>"01012328"</f>
        <v>01012328</v>
      </c>
    </row>
    <row r="688" spans="1:7" x14ac:dyDescent="0.25">
      <c r="A688" s="2">
        <v>687</v>
      </c>
      <c r="B688" s="3">
        <v>5563</v>
      </c>
      <c r="C688" s="5" t="s">
        <v>2657</v>
      </c>
      <c r="D688" s="5" t="s">
        <v>32</v>
      </c>
      <c r="E688" s="5" t="s">
        <v>14</v>
      </c>
      <c r="F688" s="3" t="s">
        <v>2658</v>
      </c>
      <c r="G688" s="3" t="str">
        <f>"01000835"</f>
        <v>01000835</v>
      </c>
    </row>
    <row r="689" spans="1:7" x14ac:dyDescent="0.25">
      <c r="A689" s="2">
        <v>688</v>
      </c>
      <c r="B689" s="3">
        <v>12005</v>
      </c>
      <c r="C689" s="5" t="s">
        <v>3260</v>
      </c>
      <c r="D689" s="5" t="s">
        <v>3259</v>
      </c>
      <c r="E689" s="5" t="s">
        <v>3231</v>
      </c>
      <c r="F689" s="3" t="s">
        <v>3261</v>
      </c>
      <c r="G689" s="3" t="str">
        <f>"01002245"</f>
        <v>01002245</v>
      </c>
    </row>
    <row r="690" spans="1:7" x14ac:dyDescent="0.25">
      <c r="A690" s="2">
        <v>689</v>
      </c>
      <c r="B690" s="3">
        <v>11894</v>
      </c>
      <c r="C690" s="5" t="s">
        <v>77</v>
      </c>
      <c r="D690" s="5" t="s">
        <v>76</v>
      </c>
      <c r="E690" s="5" t="s">
        <v>44</v>
      </c>
      <c r="F690" s="3" t="s">
        <v>78</v>
      </c>
      <c r="G690" s="3" t="str">
        <f>"00878988"</f>
        <v>00878988</v>
      </c>
    </row>
    <row r="691" spans="1:7" x14ac:dyDescent="0.25">
      <c r="A691" s="2">
        <v>690</v>
      </c>
      <c r="B691" s="3">
        <v>1986</v>
      </c>
      <c r="C691" s="5" t="s">
        <v>3926</v>
      </c>
      <c r="D691" s="5" t="s">
        <v>87</v>
      </c>
      <c r="E691" s="5" t="s">
        <v>107</v>
      </c>
      <c r="F691" s="3">
        <v>90682</v>
      </c>
      <c r="G691" s="3" t="str">
        <f>"01012693"</f>
        <v>01012693</v>
      </c>
    </row>
    <row r="692" spans="1:7" x14ac:dyDescent="0.25">
      <c r="A692" s="2">
        <v>691</v>
      </c>
      <c r="B692" s="3">
        <v>1462</v>
      </c>
      <c r="C692" s="5" t="s">
        <v>4231</v>
      </c>
      <c r="D692" s="5" t="s">
        <v>14</v>
      </c>
      <c r="E692" s="5" t="s">
        <v>5</v>
      </c>
      <c r="F692" s="3" t="s">
        <v>4232</v>
      </c>
      <c r="G692" s="3" t="str">
        <f>"01014664"</f>
        <v>01014664</v>
      </c>
    </row>
    <row r="693" spans="1:7" x14ac:dyDescent="0.25">
      <c r="A693" s="2">
        <v>692</v>
      </c>
      <c r="B693" s="3">
        <v>4572</v>
      </c>
      <c r="C693" s="5" t="s">
        <v>729</v>
      </c>
      <c r="D693" s="5" t="s">
        <v>32</v>
      </c>
      <c r="E693" s="5" t="s">
        <v>11</v>
      </c>
      <c r="F693" s="3" t="s">
        <v>730</v>
      </c>
      <c r="G693" s="3" t="str">
        <f>"00925594"</f>
        <v>00925594</v>
      </c>
    </row>
    <row r="694" spans="1:7" x14ac:dyDescent="0.25">
      <c r="A694" s="2">
        <v>693</v>
      </c>
      <c r="B694" s="3">
        <v>4028</v>
      </c>
      <c r="C694" s="5" t="s">
        <v>512</v>
      </c>
      <c r="D694" s="5" t="s">
        <v>44</v>
      </c>
      <c r="E694" s="5" t="s">
        <v>545</v>
      </c>
      <c r="F694" s="3" t="s">
        <v>513</v>
      </c>
      <c r="G694" s="3" t="str">
        <f>"00984794"</f>
        <v>00984794</v>
      </c>
    </row>
    <row r="695" spans="1:7" x14ac:dyDescent="0.25">
      <c r="A695" s="2">
        <v>694</v>
      </c>
      <c r="B695" s="3">
        <v>4288</v>
      </c>
      <c r="C695" s="5" t="s">
        <v>512</v>
      </c>
      <c r="D695" s="5" t="s">
        <v>11</v>
      </c>
      <c r="E695" s="5" t="s">
        <v>52</v>
      </c>
      <c r="F695" s="3">
        <v>2737968</v>
      </c>
      <c r="G695" s="3" t="str">
        <f>"00986339"</f>
        <v>00986339</v>
      </c>
    </row>
    <row r="696" spans="1:7" x14ac:dyDescent="0.25">
      <c r="A696" s="2">
        <v>695</v>
      </c>
      <c r="B696" s="3">
        <v>9732</v>
      </c>
      <c r="C696" s="5" t="s">
        <v>4740</v>
      </c>
      <c r="D696" s="5" t="s">
        <v>44</v>
      </c>
      <c r="E696" s="5" t="s">
        <v>129</v>
      </c>
      <c r="F696" s="3">
        <v>90687</v>
      </c>
      <c r="G696" s="3" t="str">
        <f>"00763003"</f>
        <v>00763003</v>
      </c>
    </row>
    <row r="697" spans="1:7" x14ac:dyDescent="0.25">
      <c r="A697" s="2">
        <v>696</v>
      </c>
      <c r="B697" s="3">
        <v>4941</v>
      </c>
      <c r="C697" s="5" t="s">
        <v>3809</v>
      </c>
      <c r="D697" s="5" t="s">
        <v>52</v>
      </c>
      <c r="E697" s="5" t="s">
        <v>4890</v>
      </c>
      <c r="F697" s="3" t="s">
        <v>3810</v>
      </c>
      <c r="G697" s="3" t="str">
        <f>"01006617"</f>
        <v>01006617</v>
      </c>
    </row>
    <row r="698" spans="1:7" x14ac:dyDescent="0.25">
      <c r="A698" s="2">
        <v>697</v>
      </c>
      <c r="B698" s="3">
        <v>10074</v>
      </c>
      <c r="C698" s="5" t="s">
        <v>2642</v>
      </c>
      <c r="D698" s="5" t="s">
        <v>307</v>
      </c>
      <c r="E698" s="5" t="s">
        <v>184</v>
      </c>
      <c r="F698" s="3" t="s">
        <v>2643</v>
      </c>
      <c r="G698" s="3" t="str">
        <f>"01013428"</f>
        <v>01013428</v>
      </c>
    </row>
    <row r="699" spans="1:7" x14ac:dyDescent="0.25">
      <c r="A699" s="2">
        <v>698</v>
      </c>
      <c r="B699" s="3">
        <v>10338</v>
      </c>
      <c r="C699" s="5" t="s">
        <v>3405</v>
      </c>
      <c r="D699" s="5" t="s">
        <v>2022</v>
      </c>
      <c r="E699" s="5" t="s">
        <v>207</v>
      </c>
      <c r="F699" s="3" t="s">
        <v>3406</v>
      </c>
      <c r="G699" s="3" t="str">
        <f>"01013748"</f>
        <v>01013748</v>
      </c>
    </row>
    <row r="700" spans="1:7" x14ac:dyDescent="0.25">
      <c r="A700" s="2">
        <v>699</v>
      </c>
      <c r="B700" s="3">
        <v>9203</v>
      </c>
      <c r="C700" s="5" t="s">
        <v>2214</v>
      </c>
      <c r="D700" s="5" t="s">
        <v>52</v>
      </c>
      <c r="E700" s="5" t="s">
        <v>87</v>
      </c>
      <c r="F700" s="3" t="s">
        <v>3529</v>
      </c>
      <c r="G700" s="3" t="str">
        <f>"00717505"</f>
        <v>00717505</v>
      </c>
    </row>
    <row r="701" spans="1:7" x14ac:dyDescent="0.25">
      <c r="A701" s="2">
        <v>700</v>
      </c>
      <c r="B701" s="3">
        <v>2717</v>
      </c>
      <c r="C701" s="5" t="s">
        <v>2214</v>
      </c>
      <c r="D701" s="5" t="s">
        <v>5</v>
      </c>
      <c r="E701" s="5" t="s">
        <v>87</v>
      </c>
      <c r="F701" s="3" t="s">
        <v>2215</v>
      </c>
      <c r="G701" s="3" t="str">
        <f>"01010794"</f>
        <v>01010794</v>
      </c>
    </row>
    <row r="702" spans="1:7" x14ac:dyDescent="0.25">
      <c r="A702" s="2">
        <v>701</v>
      </c>
      <c r="B702" s="3">
        <v>8475</v>
      </c>
      <c r="C702" s="5" t="s">
        <v>4003</v>
      </c>
      <c r="D702" s="5" t="s">
        <v>667</v>
      </c>
      <c r="E702" s="5" t="s">
        <v>44</v>
      </c>
      <c r="F702" s="3" t="s">
        <v>4004</v>
      </c>
      <c r="G702" s="3" t="str">
        <f>"00980622"</f>
        <v>00980622</v>
      </c>
    </row>
    <row r="703" spans="1:7" x14ac:dyDescent="0.25">
      <c r="A703" s="2">
        <v>702</v>
      </c>
      <c r="B703" s="3">
        <v>11263</v>
      </c>
      <c r="C703" s="5" t="s">
        <v>3844</v>
      </c>
      <c r="D703" s="5" t="s">
        <v>5</v>
      </c>
      <c r="E703" s="5" t="s">
        <v>87</v>
      </c>
      <c r="F703" s="3" t="s">
        <v>3845</v>
      </c>
      <c r="G703" s="3" t="str">
        <f>"00971300"</f>
        <v>00971300</v>
      </c>
    </row>
    <row r="704" spans="1:7" x14ac:dyDescent="0.25">
      <c r="A704" s="2">
        <v>703</v>
      </c>
      <c r="B704" s="3">
        <v>8008</v>
      </c>
      <c r="C704" s="5" t="s">
        <v>3807</v>
      </c>
      <c r="D704" s="5" t="s">
        <v>3806</v>
      </c>
      <c r="E704" s="5" t="s">
        <v>14</v>
      </c>
      <c r="F704" s="3" t="s">
        <v>3808</v>
      </c>
      <c r="G704" s="3" t="str">
        <f>"00810125"</f>
        <v>00810125</v>
      </c>
    </row>
    <row r="705" spans="1:7" x14ac:dyDescent="0.25">
      <c r="A705" s="2">
        <v>704</v>
      </c>
      <c r="B705" s="3">
        <v>11493</v>
      </c>
      <c r="C705" s="5" t="s">
        <v>3859</v>
      </c>
      <c r="D705" s="5" t="s">
        <v>3858</v>
      </c>
      <c r="E705" s="5" t="s">
        <v>3042</v>
      </c>
      <c r="F705" s="3" t="s">
        <v>3860</v>
      </c>
      <c r="G705" s="3" t="str">
        <f>"00984718"</f>
        <v>00984718</v>
      </c>
    </row>
    <row r="706" spans="1:7" x14ac:dyDescent="0.25">
      <c r="A706" s="2">
        <v>705</v>
      </c>
      <c r="B706" s="3">
        <v>8009</v>
      </c>
      <c r="C706" s="5" t="s">
        <v>280</v>
      </c>
      <c r="D706" s="5" t="s">
        <v>87</v>
      </c>
      <c r="E706" s="5" t="s">
        <v>252</v>
      </c>
      <c r="F706" s="3" t="s">
        <v>281</v>
      </c>
      <c r="G706" s="3" t="str">
        <f>"00092636"</f>
        <v>00092636</v>
      </c>
    </row>
    <row r="707" spans="1:7" x14ac:dyDescent="0.25">
      <c r="A707" s="2">
        <v>706</v>
      </c>
      <c r="B707" s="3">
        <v>9323</v>
      </c>
      <c r="C707" s="5" t="s">
        <v>1362</v>
      </c>
      <c r="D707" s="5" t="s">
        <v>696</v>
      </c>
      <c r="E707" s="5" t="s">
        <v>252</v>
      </c>
      <c r="F707" s="3" t="s">
        <v>1363</v>
      </c>
      <c r="G707" s="3" t="str">
        <f>"00980632"</f>
        <v>00980632</v>
      </c>
    </row>
    <row r="708" spans="1:7" x14ac:dyDescent="0.25">
      <c r="A708" s="2">
        <v>707</v>
      </c>
      <c r="B708" s="3">
        <v>3872</v>
      </c>
      <c r="C708" s="5" t="s">
        <v>1241</v>
      </c>
      <c r="D708" s="5" t="s">
        <v>696</v>
      </c>
      <c r="E708" s="5" t="s">
        <v>129</v>
      </c>
      <c r="F708" s="3" t="s">
        <v>1242</v>
      </c>
      <c r="G708" s="3" t="str">
        <f>"201511033967"</f>
        <v>201511033967</v>
      </c>
    </row>
    <row r="709" spans="1:7" x14ac:dyDescent="0.25">
      <c r="A709" s="2">
        <v>708</v>
      </c>
      <c r="B709" s="3">
        <v>10868</v>
      </c>
      <c r="C709" s="5" t="s">
        <v>1241</v>
      </c>
      <c r="D709" s="5" t="s">
        <v>307</v>
      </c>
      <c r="E709" s="5" t="s">
        <v>5</v>
      </c>
      <c r="F709" s="3" t="s">
        <v>3129</v>
      </c>
      <c r="G709" s="3" t="str">
        <f>"00974111"</f>
        <v>00974111</v>
      </c>
    </row>
    <row r="710" spans="1:7" x14ac:dyDescent="0.25">
      <c r="A710" s="2">
        <v>709</v>
      </c>
      <c r="B710" s="3">
        <v>9218</v>
      </c>
      <c r="C710" s="5" t="s">
        <v>97</v>
      </c>
      <c r="D710" s="5" t="s">
        <v>113</v>
      </c>
      <c r="E710" s="5" t="s">
        <v>52</v>
      </c>
      <c r="F710" s="3" t="s">
        <v>2727</v>
      </c>
      <c r="G710" s="3" t="str">
        <f>"00986556"</f>
        <v>00986556</v>
      </c>
    </row>
    <row r="711" spans="1:7" x14ac:dyDescent="0.25">
      <c r="A711" s="2">
        <v>710</v>
      </c>
      <c r="B711" s="3">
        <v>4004</v>
      </c>
      <c r="C711" s="5" t="s">
        <v>97</v>
      </c>
      <c r="D711" s="5" t="s">
        <v>87</v>
      </c>
      <c r="E711" s="5" t="s">
        <v>44</v>
      </c>
      <c r="F711" s="3" t="s">
        <v>98</v>
      </c>
      <c r="G711" s="3" t="str">
        <f>"01013004"</f>
        <v>01013004</v>
      </c>
    </row>
    <row r="712" spans="1:7" x14ac:dyDescent="0.25">
      <c r="A712" s="2">
        <v>711</v>
      </c>
      <c r="B712" s="3">
        <v>8273</v>
      </c>
      <c r="C712" s="5" t="s">
        <v>97</v>
      </c>
      <c r="D712" s="5" t="s">
        <v>44</v>
      </c>
      <c r="E712" s="5" t="s">
        <v>167</v>
      </c>
      <c r="F712" s="3" t="s">
        <v>1646</v>
      </c>
      <c r="G712" s="3" t="str">
        <f>"01014137"</f>
        <v>01014137</v>
      </c>
    </row>
    <row r="713" spans="1:7" x14ac:dyDescent="0.25">
      <c r="A713" s="2">
        <v>712</v>
      </c>
      <c r="B713" s="3">
        <v>8519</v>
      </c>
      <c r="C713" s="5" t="s">
        <v>97</v>
      </c>
      <c r="D713" s="5" t="s">
        <v>129</v>
      </c>
      <c r="E713" s="5" t="s">
        <v>5</v>
      </c>
      <c r="F713" s="3" t="s">
        <v>4654</v>
      </c>
      <c r="G713" s="3" t="str">
        <f>"00816353"</f>
        <v>00816353</v>
      </c>
    </row>
    <row r="714" spans="1:7" x14ac:dyDescent="0.25">
      <c r="A714" s="2">
        <v>713</v>
      </c>
      <c r="B714" s="3">
        <v>7059</v>
      </c>
      <c r="C714" s="5" t="s">
        <v>97</v>
      </c>
      <c r="D714" s="5" t="s">
        <v>38</v>
      </c>
      <c r="E714" s="5" t="s">
        <v>14</v>
      </c>
      <c r="F714" s="3" t="s">
        <v>2451</v>
      </c>
      <c r="G714" s="3" t="str">
        <f>"01017131"</f>
        <v>01017131</v>
      </c>
    </row>
    <row r="715" spans="1:7" x14ac:dyDescent="0.25">
      <c r="A715" s="2">
        <v>714</v>
      </c>
      <c r="B715" s="3">
        <v>5599</v>
      </c>
      <c r="C715" s="5" t="s">
        <v>97</v>
      </c>
      <c r="D715" s="5" t="s">
        <v>858</v>
      </c>
      <c r="E715" s="5" t="s">
        <v>382</v>
      </c>
      <c r="F715" s="3" t="s">
        <v>2777</v>
      </c>
      <c r="G715" s="3" t="str">
        <f>"201507001206"</f>
        <v>201507001206</v>
      </c>
    </row>
    <row r="716" spans="1:7" x14ac:dyDescent="0.25">
      <c r="A716" s="2">
        <v>715</v>
      </c>
      <c r="B716" s="3">
        <v>4081</v>
      </c>
      <c r="C716" s="5" t="s">
        <v>1896</v>
      </c>
      <c r="D716" s="5" t="s">
        <v>14</v>
      </c>
      <c r="E716" s="5" t="s">
        <v>1170</v>
      </c>
      <c r="F716" s="3">
        <v>2721763</v>
      </c>
      <c r="G716" s="3" t="str">
        <f>"00986530"</f>
        <v>00986530</v>
      </c>
    </row>
    <row r="717" spans="1:7" x14ac:dyDescent="0.25">
      <c r="A717" s="2">
        <v>716</v>
      </c>
      <c r="B717" s="3">
        <v>2618</v>
      </c>
      <c r="C717" s="5" t="s">
        <v>1896</v>
      </c>
      <c r="D717" s="5" t="s">
        <v>129</v>
      </c>
      <c r="E717" s="5" t="s">
        <v>635</v>
      </c>
      <c r="F717" s="3">
        <v>900716014</v>
      </c>
      <c r="G717" s="3" t="str">
        <f>"00699031"</f>
        <v>00699031</v>
      </c>
    </row>
    <row r="718" spans="1:7" x14ac:dyDescent="0.25">
      <c r="A718" s="2">
        <v>717</v>
      </c>
      <c r="B718" s="3">
        <v>6245</v>
      </c>
      <c r="C718" s="5" t="s">
        <v>1896</v>
      </c>
      <c r="D718" s="5" t="s">
        <v>38</v>
      </c>
      <c r="E718" s="5" t="s">
        <v>776</v>
      </c>
      <c r="F718" s="3">
        <v>2012392</v>
      </c>
      <c r="G718" s="3" t="str">
        <f>"01016415"</f>
        <v>01016415</v>
      </c>
    </row>
    <row r="719" spans="1:7" x14ac:dyDescent="0.25">
      <c r="A719" s="2">
        <v>718</v>
      </c>
      <c r="B719" s="3">
        <v>241</v>
      </c>
      <c r="C719" s="5" t="s">
        <v>3462</v>
      </c>
      <c r="D719" s="5" t="s">
        <v>307</v>
      </c>
      <c r="E719" s="5" t="s">
        <v>667</v>
      </c>
      <c r="F719" s="3" t="s">
        <v>3463</v>
      </c>
      <c r="G719" s="3" t="str">
        <f>"01017446"</f>
        <v>01017446</v>
      </c>
    </row>
    <row r="720" spans="1:7" x14ac:dyDescent="0.25">
      <c r="A720" s="2">
        <v>719</v>
      </c>
      <c r="B720" s="3">
        <v>13053</v>
      </c>
      <c r="C720" s="5" t="s">
        <v>2079</v>
      </c>
      <c r="D720" s="5" t="s">
        <v>366</v>
      </c>
      <c r="E720" s="5" t="s">
        <v>87</v>
      </c>
      <c r="F720" s="3" t="s">
        <v>2080</v>
      </c>
      <c r="G720" s="3" t="str">
        <f>"00979149"</f>
        <v>00979149</v>
      </c>
    </row>
    <row r="721" spans="1:7" x14ac:dyDescent="0.25">
      <c r="A721" s="2">
        <v>720</v>
      </c>
      <c r="B721" s="3">
        <v>11710</v>
      </c>
      <c r="C721" s="5" t="s">
        <v>1580</v>
      </c>
      <c r="D721" s="5" t="s">
        <v>87</v>
      </c>
      <c r="E721" s="5" t="s">
        <v>14</v>
      </c>
      <c r="F721" s="3">
        <v>285965021</v>
      </c>
      <c r="G721" s="3" t="str">
        <f>"00994074"</f>
        <v>00994074</v>
      </c>
    </row>
    <row r="722" spans="1:7" x14ac:dyDescent="0.25">
      <c r="A722" s="2">
        <v>721</v>
      </c>
      <c r="B722" s="3">
        <v>201</v>
      </c>
      <c r="C722" s="5" t="s">
        <v>856</v>
      </c>
      <c r="D722" s="5" t="s">
        <v>14</v>
      </c>
      <c r="E722" s="5" t="s">
        <v>38</v>
      </c>
      <c r="F722" s="3" t="s">
        <v>857</v>
      </c>
      <c r="G722" s="3" t="str">
        <f>"00454755"</f>
        <v>00454755</v>
      </c>
    </row>
    <row r="723" spans="1:7" x14ac:dyDescent="0.25">
      <c r="A723" s="2">
        <v>722</v>
      </c>
      <c r="B723" s="3">
        <v>43</v>
      </c>
      <c r="C723" s="5" t="s">
        <v>3262</v>
      </c>
      <c r="D723" s="5" t="s">
        <v>187</v>
      </c>
      <c r="E723" s="5" t="s">
        <v>32</v>
      </c>
      <c r="F723" s="3" t="s">
        <v>3263</v>
      </c>
      <c r="G723" s="3" t="str">
        <f>"01016019"</f>
        <v>01016019</v>
      </c>
    </row>
    <row r="724" spans="1:7" x14ac:dyDescent="0.25">
      <c r="A724" s="2">
        <v>723</v>
      </c>
      <c r="B724" s="3">
        <v>12414</v>
      </c>
      <c r="C724" s="5" t="s">
        <v>2965</v>
      </c>
      <c r="D724" s="5" t="s">
        <v>635</v>
      </c>
      <c r="E724" s="5" t="s">
        <v>207</v>
      </c>
      <c r="F724" s="3" t="s">
        <v>2966</v>
      </c>
      <c r="G724" s="3" t="str">
        <f>"00975063"</f>
        <v>00975063</v>
      </c>
    </row>
    <row r="725" spans="1:7" x14ac:dyDescent="0.25">
      <c r="A725" s="2">
        <v>724</v>
      </c>
      <c r="B725" s="3">
        <v>6835</v>
      </c>
      <c r="C725" s="5" t="s">
        <v>1347</v>
      </c>
      <c r="D725" s="5" t="s">
        <v>5</v>
      </c>
      <c r="E725" s="5" t="s">
        <v>284</v>
      </c>
      <c r="F725" s="3" t="s">
        <v>1348</v>
      </c>
      <c r="G725" s="3" t="str">
        <f>"00897370"</f>
        <v>00897370</v>
      </c>
    </row>
    <row r="726" spans="1:7" x14ac:dyDescent="0.25">
      <c r="A726" s="2">
        <v>725</v>
      </c>
      <c r="B726" s="3">
        <v>3529</v>
      </c>
      <c r="C726" s="5" t="s">
        <v>3824</v>
      </c>
      <c r="D726" s="5" t="s">
        <v>3823</v>
      </c>
      <c r="E726" s="5" t="s">
        <v>87</v>
      </c>
      <c r="F726" s="3" t="s">
        <v>3825</v>
      </c>
      <c r="G726" s="3" t="str">
        <f>"00996251"</f>
        <v>00996251</v>
      </c>
    </row>
    <row r="727" spans="1:7" x14ac:dyDescent="0.25">
      <c r="A727" s="2">
        <v>726</v>
      </c>
      <c r="B727" s="3">
        <v>4973</v>
      </c>
      <c r="C727" s="5" t="s">
        <v>2953</v>
      </c>
      <c r="D727" s="5" t="s">
        <v>1177</v>
      </c>
      <c r="E727" s="5" t="s">
        <v>4869</v>
      </c>
      <c r="F727" s="3" t="s">
        <v>2954</v>
      </c>
      <c r="G727" s="3" t="str">
        <f>"00718875"</f>
        <v>00718875</v>
      </c>
    </row>
    <row r="728" spans="1:7" x14ac:dyDescent="0.25">
      <c r="A728" s="2">
        <v>727</v>
      </c>
      <c r="B728" s="3">
        <v>6148</v>
      </c>
      <c r="C728" s="5" t="s">
        <v>17</v>
      </c>
      <c r="D728" s="5" t="s">
        <v>16</v>
      </c>
      <c r="E728" s="5" t="s">
        <v>102</v>
      </c>
      <c r="F728" s="3">
        <v>2013245</v>
      </c>
      <c r="G728" s="3" t="str">
        <f>"00443765"</f>
        <v>00443765</v>
      </c>
    </row>
    <row r="729" spans="1:7" x14ac:dyDescent="0.25">
      <c r="A729" s="2">
        <v>728</v>
      </c>
      <c r="B729" s="3">
        <v>7143</v>
      </c>
      <c r="C729" s="5" t="s">
        <v>4698</v>
      </c>
      <c r="D729" s="5" t="s">
        <v>162</v>
      </c>
      <c r="E729" s="5" t="s">
        <v>382</v>
      </c>
      <c r="F729" s="3" t="s">
        <v>4699</v>
      </c>
      <c r="G729" s="3" t="str">
        <f>"00548587"</f>
        <v>00548587</v>
      </c>
    </row>
    <row r="730" spans="1:7" x14ac:dyDescent="0.25">
      <c r="A730" s="2">
        <v>729</v>
      </c>
      <c r="B730" s="3">
        <v>9982</v>
      </c>
      <c r="C730" s="5" t="s">
        <v>334</v>
      </c>
      <c r="D730" s="5" t="s">
        <v>14</v>
      </c>
      <c r="E730" s="5" t="s">
        <v>32</v>
      </c>
      <c r="F730" s="3">
        <v>15408</v>
      </c>
      <c r="G730" s="3" t="str">
        <f>"00605700"</f>
        <v>00605700</v>
      </c>
    </row>
    <row r="731" spans="1:7" x14ac:dyDescent="0.25">
      <c r="A731" s="2">
        <v>730</v>
      </c>
      <c r="B731" s="3">
        <v>6253</v>
      </c>
      <c r="C731" s="5" t="s">
        <v>2736</v>
      </c>
      <c r="D731" s="5" t="s">
        <v>773</v>
      </c>
      <c r="E731" s="5" t="s">
        <v>87</v>
      </c>
      <c r="F731" s="3" t="s">
        <v>2737</v>
      </c>
      <c r="G731" s="3" t="str">
        <f>"01017059"</f>
        <v>01017059</v>
      </c>
    </row>
    <row r="732" spans="1:7" x14ac:dyDescent="0.25">
      <c r="A732" s="2">
        <v>731</v>
      </c>
      <c r="B732" s="3">
        <v>2081</v>
      </c>
      <c r="C732" s="5" t="s">
        <v>2712</v>
      </c>
      <c r="D732" s="5" t="s">
        <v>14</v>
      </c>
      <c r="E732" s="5" t="s">
        <v>129</v>
      </c>
      <c r="F732" s="3" t="s">
        <v>2713</v>
      </c>
      <c r="G732" s="3" t="str">
        <f>"00919113"</f>
        <v>00919113</v>
      </c>
    </row>
    <row r="733" spans="1:7" x14ac:dyDescent="0.25">
      <c r="A733" s="2">
        <v>732</v>
      </c>
      <c r="B733" s="3">
        <v>5207</v>
      </c>
      <c r="C733" s="5" t="s">
        <v>1462</v>
      </c>
      <c r="D733" s="5" t="s">
        <v>24</v>
      </c>
      <c r="E733" s="5" t="s">
        <v>32</v>
      </c>
      <c r="F733" s="3" t="s">
        <v>1463</v>
      </c>
      <c r="G733" s="3" t="str">
        <f>"00898914"</f>
        <v>00898914</v>
      </c>
    </row>
    <row r="734" spans="1:7" x14ac:dyDescent="0.25">
      <c r="A734" s="2">
        <v>733</v>
      </c>
      <c r="B734" s="3">
        <v>10776</v>
      </c>
      <c r="C734" s="5" t="s">
        <v>1462</v>
      </c>
      <c r="D734" s="5" t="s">
        <v>4028</v>
      </c>
      <c r="E734" s="5" t="s">
        <v>32</v>
      </c>
      <c r="F734" s="3" t="s">
        <v>4029</v>
      </c>
      <c r="G734" s="3" t="str">
        <f>"00022345"</f>
        <v>00022345</v>
      </c>
    </row>
    <row r="735" spans="1:7" x14ac:dyDescent="0.25">
      <c r="A735" s="2">
        <v>734</v>
      </c>
      <c r="B735" s="3">
        <v>2452</v>
      </c>
      <c r="C735" s="5" t="s">
        <v>1462</v>
      </c>
      <c r="D735" s="5" t="s">
        <v>4425</v>
      </c>
      <c r="E735" s="5" t="s">
        <v>87</v>
      </c>
      <c r="F735" s="3" t="s">
        <v>4426</v>
      </c>
      <c r="G735" s="3" t="str">
        <f>"00985532"</f>
        <v>00985532</v>
      </c>
    </row>
    <row r="736" spans="1:7" x14ac:dyDescent="0.25">
      <c r="A736" s="2">
        <v>735</v>
      </c>
      <c r="B736" s="3">
        <v>7525</v>
      </c>
      <c r="C736" s="5" t="s">
        <v>4390</v>
      </c>
      <c r="D736" s="5" t="s">
        <v>94</v>
      </c>
      <c r="E736" s="5" t="s">
        <v>5</v>
      </c>
      <c r="F736" s="3" t="s">
        <v>4391</v>
      </c>
      <c r="G736" s="3" t="str">
        <f>"00829108"</f>
        <v>00829108</v>
      </c>
    </row>
    <row r="737" spans="1:7" x14ac:dyDescent="0.25">
      <c r="A737" s="2">
        <v>736</v>
      </c>
      <c r="B737" s="3">
        <v>3770</v>
      </c>
      <c r="C737" s="5" t="s">
        <v>1323</v>
      </c>
      <c r="D737" s="5" t="s">
        <v>52</v>
      </c>
      <c r="E737" s="5" t="s">
        <v>776</v>
      </c>
      <c r="F737" s="3" t="s">
        <v>1324</v>
      </c>
      <c r="G737" s="3" t="str">
        <f>"00012797"</f>
        <v>00012797</v>
      </c>
    </row>
    <row r="738" spans="1:7" x14ac:dyDescent="0.25">
      <c r="A738" s="2">
        <v>737</v>
      </c>
      <c r="B738" s="3">
        <v>6243</v>
      </c>
      <c r="C738" s="5" t="s">
        <v>1323</v>
      </c>
      <c r="D738" s="5" t="s">
        <v>44</v>
      </c>
      <c r="E738" s="5" t="s">
        <v>545</v>
      </c>
      <c r="F738" s="3" t="s">
        <v>3966</v>
      </c>
      <c r="G738" s="3" t="str">
        <f>"01015691"</f>
        <v>01015691</v>
      </c>
    </row>
    <row r="739" spans="1:7" x14ac:dyDescent="0.25">
      <c r="A739" s="2">
        <v>738</v>
      </c>
      <c r="B739" s="3">
        <v>10524</v>
      </c>
      <c r="C739" s="5" t="s">
        <v>1101</v>
      </c>
      <c r="D739" s="5" t="s">
        <v>63</v>
      </c>
      <c r="E739" s="5" t="s">
        <v>11</v>
      </c>
      <c r="F739" s="3" t="s">
        <v>1102</v>
      </c>
      <c r="G739" s="3" t="str">
        <f>"00985702"</f>
        <v>00985702</v>
      </c>
    </row>
    <row r="740" spans="1:7" x14ac:dyDescent="0.25">
      <c r="A740" s="2">
        <v>739</v>
      </c>
      <c r="B740" s="3">
        <v>5027</v>
      </c>
      <c r="C740" s="5" t="s">
        <v>883</v>
      </c>
      <c r="D740" s="5" t="s">
        <v>63</v>
      </c>
      <c r="E740" s="5" t="s">
        <v>44</v>
      </c>
      <c r="F740" s="3" t="s">
        <v>884</v>
      </c>
      <c r="G740" s="3" t="str">
        <f>"01014055"</f>
        <v>01014055</v>
      </c>
    </row>
    <row r="741" spans="1:7" x14ac:dyDescent="0.25">
      <c r="A741" s="2">
        <v>740</v>
      </c>
      <c r="B741" s="3">
        <v>5980</v>
      </c>
      <c r="C741" s="5" t="s">
        <v>1312</v>
      </c>
      <c r="D741" s="5" t="s">
        <v>3061</v>
      </c>
      <c r="E741" s="5" t="s">
        <v>588</v>
      </c>
      <c r="F741" s="3" t="s">
        <v>3062</v>
      </c>
      <c r="G741" s="3" t="str">
        <f>"00983922"</f>
        <v>00983922</v>
      </c>
    </row>
    <row r="742" spans="1:7" x14ac:dyDescent="0.25">
      <c r="A742" s="2">
        <v>741</v>
      </c>
      <c r="B742" s="3">
        <v>11276</v>
      </c>
      <c r="C742" s="5" t="s">
        <v>1312</v>
      </c>
      <c r="D742" s="5" t="s">
        <v>1311</v>
      </c>
      <c r="E742" s="5" t="s">
        <v>44</v>
      </c>
      <c r="F742" s="3" t="s">
        <v>1313</v>
      </c>
      <c r="G742" s="3" t="str">
        <f>"00925887"</f>
        <v>00925887</v>
      </c>
    </row>
    <row r="743" spans="1:7" x14ac:dyDescent="0.25">
      <c r="A743" s="2">
        <v>742</v>
      </c>
      <c r="B743" s="3">
        <v>12881</v>
      </c>
      <c r="C743" s="5" t="s">
        <v>1699</v>
      </c>
      <c r="D743" s="5" t="s">
        <v>91</v>
      </c>
      <c r="E743" s="5" t="s">
        <v>52</v>
      </c>
      <c r="F743" s="3" t="s">
        <v>1700</v>
      </c>
      <c r="G743" s="3" t="str">
        <f>"01014936"</f>
        <v>01014936</v>
      </c>
    </row>
    <row r="744" spans="1:7" x14ac:dyDescent="0.25">
      <c r="A744" s="2">
        <v>743</v>
      </c>
      <c r="B744" s="3">
        <v>6948</v>
      </c>
      <c r="C744" s="5" t="s">
        <v>116</v>
      </c>
      <c r="D744" s="5" t="s">
        <v>115</v>
      </c>
      <c r="E744" s="5" t="s">
        <v>44</v>
      </c>
      <c r="F744" s="3" t="s">
        <v>117</v>
      </c>
      <c r="G744" s="3" t="str">
        <f>"00630693"</f>
        <v>00630693</v>
      </c>
    </row>
    <row r="745" spans="1:7" x14ac:dyDescent="0.25">
      <c r="A745" s="2">
        <v>744</v>
      </c>
      <c r="B745" s="3">
        <v>8348</v>
      </c>
      <c r="C745" s="5" t="s">
        <v>1901</v>
      </c>
      <c r="D745" s="5" t="s">
        <v>5</v>
      </c>
      <c r="E745" s="5" t="s">
        <v>87</v>
      </c>
      <c r="F745" s="3" t="s">
        <v>1902</v>
      </c>
      <c r="G745" s="3" t="str">
        <f>"00089987"</f>
        <v>00089987</v>
      </c>
    </row>
    <row r="746" spans="1:7" x14ac:dyDescent="0.25">
      <c r="A746" s="2">
        <v>745</v>
      </c>
      <c r="B746" s="3">
        <v>10952</v>
      </c>
      <c r="C746" s="5" t="s">
        <v>2266</v>
      </c>
      <c r="D746" s="5" t="s">
        <v>113</v>
      </c>
      <c r="E746" s="5" t="s">
        <v>87</v>
      </c>
      <c r="F746" s="3" t="s">
        <v>2267</v>
      </c>
      <c r="G746" s="3" t="str">
        <f>"00818704"</f>
        <v>00818704</v>
      </c>
    </row>
    <row r="747" spans="1:7" x14ac:dyDescent="0.25">
      <c r="A747" s="2">
        <v>746</v>
      </c>
      <c r="B747" s="3">
        <v>12932</v>
      </c>
      <c r="C747" s="5" t="s">
        <v>3500</v>
      </c>
      <c r="D747" s="5" t="s">
        <v>773</v>
      </c>
      <c r="E747" s="5" t="s">
        <v>14</v>
      </c>
      <c r="F747" s="3" t="s">
        <v>3501</v>
      </c>
      <c r="G747" s="3" t="str">
        <f>"00797848"</f>
        <v>00797848</v>
      </c>
    </row>
    <row r="748" spans="1:7" x14ac:dyDescent="0.25">
      <c r="A748" s="2">
        <v>747</v>
      </c>
      <c r="B748" s="3">
        <v>9129</v>
      </c>
      <c r="C748" s="5" t="s">
        <v>3250</v>
      </c>
      <c r="D748" s="5" t="s">
        <v>63</v>
      </c>
      <c r="E748" s="5" t="s">
        <v>4439</v>
      </c>
      <c r="F748" s="3" t="s">
        <v>3251</v>
      </c>
      <c r="G748" s="3" t="str">
        <f>"00982896"</f>
        <v>00982896</v>
      </c>
    </row>
    <row r="749" spans="1:7" x14ac:dyDescent="0.25">
      <c r="A749" s="2">
        <v>748</v>
      </c>
      <c r="B749" s="3">
        <v>12659</v>
      </c>
      <c r="C749" s="5" t="s">
        <v>2524</v>
      </c>
      <c r="D749" s="5" t="s">
        <v>198</v>
      </c>
      <c r="E749" s="5" t="s">
        <v>94</v>
      </c>
      <c r="F749" s="3" t="s">
        <v>2525</v>
      </c>
      <c r="G749" s="3" t="str">
        <f>"00451232"</f>
        <v>00451232</v>
      </c>
    </row>
    <row r="750" spans="1:7" x14ac:dyDescent="0.25">
      <c r="A750" s="2">
        <v>749</v>
      </c>
      <c r="B750" s="3">
        <v>658</v>
      </c>
      <c r="C750" s="5" t="s">
        <v>417</v>
      </c>
      <c r="D750" s="5" t="s">
        <v>416</v>
      </c>
      <c r="E750" s="5" t="s">
        <v>11</v>
      </c>
      <c r="F750" s="3" t="s">
        <v>418</v>
      </c>
      <c r="G750" s="3" t="str">
        <f>"00791755"</f>
        <v>00791755</v>
      </c>
    </row>
    <row r="751" spans="1:7" x14ac:dyDescent="0.25">
      <c r="A751" s="2">
        <v>750</v>
      </c>
      <c r="B751" s="3">
        <v>11427</v>
      </c>
      <c r="C751" s="5" t="s">
        <v>1553</v>
      </c>
      <c r="D751" s="5" t="s">
        <v>5</v>
      </c>
      <c r="E751" s="5" t="s">
        <v>87</v>
      </c>
      <c r="F751" s="3" t="s">
        <v>1554</v>
      </c>
      <c r="G751" s="3" t="str">
        <f>"00813401"</f>
        <v>00813401</v>
      </c>
    </row>
    <row r="752" spans="1:7" x14ac:dyDescent="0.25">
      <c r="A752" s="2">
        <v>751</v>
      </c>
      <c r="B752" s="3">
        <v>2821</v>
      </c>
      <c r="C752" s="5" t="s">
        <v>674</v>
      </c>
      <c r="D752" s="5" t="s">
        <v>187</v>
      </c>
      <c r="E752" s="5" t="s">
        <v>44</v>
      </c>
      <c r="F752" s="3" t="s">
        <v>675</v>
      </c>
      <c r="G752" s="3" t="str">
        <f>"00121444"</f>
        <v>00121444</v>
      </c>
    </row>
    <row r="753" spans="1:7" x14ac:dyDescent="0.25">
      <c r="A753" s="2">
        <v>752</v>
      </c>
      <c r="B753" s="3">
        <v>6528</v>
      </c>
      <c r="C753" s="5" t="s">
        <v>2687</v>
      </c>
      <c r="D753" s="5" t="s">
        <v>11</v>
      </c>
      <c r="E753" s="5" t="s">
        <v>44</v>
      </c>
      <c r="F753" s="3" t="s">
        <v>2688</v>
      </c>
      <c r="G753" s="3" t="str">
        <f>"00979741"</f>
        <v>00979741</v>
      </c>
    </row>
    <row r="754" spans="1:7" x14ac:dyDescent="0.25">
      <c r="A754" s="2">
        <v>753</v>
      </c>
      <c r="B754" s="3">
        <v>5602</v>
      </c>
      <c r="C754" s="5" t="s">
        <v>4146</v>
      </c>
      <c r="D754" s="5" t="s">
        <v>4145</v>
      </c>
      <c r="E754" s="5" t="s">
        <v>38</v>
      </c>
      <c r="F754" s="3" t="s">
        <v>4147</v>
      </c>
      <c r="G754" s="3" t="str">
        <f>"00986327"</f>
        <v>00986327</v>
      </c>
    </row>
    <row r="755" spans="1:7" x14ac:dyDescent="0.25">
      <c r="A755" s="2">
        <v>754</v>
      </c>
      <c r="B755" s="3">
        <v>8581</v>
      </c>
      <c r="C755" s="5" t="s">
        <v>3647</v>
      </c>
      <c r="D755" s="5" t="s">
        <v>27</v>
      </c>
      <c r="E755" s="5" t="s">
        <v>284</v>
      </c>
      <c r="F755" s="3">
        <v>711248014</v>
      </c>
      <c r="G755" s="3" t="str">
        <f>"00657090"</f>
        <v>00657090</v>
      </c>
    </row>
    <row r="756" spans="1:7" x14ac:dyDescent="0.25">
      <c r="A756" s="2">
        <v>755</v>
      </c>
      <c r="B756" s="3">
        <v>6317</v>
      </c>
      <c r="C756" s="5" t="s">
        <v>3095</v>
      </c>
      <c r="D756" s="5" t="s">
        <v>52</v>
      </c>
      <c r="E756" s="5" t="s">
        <v>635</v>
      </c>
      <c r="F756" s="3" t="s">
        <v>3096</v>
      </c>
      <c r="G756" s="3" t="str">
        <f>"00872587"</f>
        <v>00872587</v>
      </c>
    </row>
    <row r="757" spans="1:7" x14ac:dyDescent="0.25">
      <c r="A757" s="2">
        <v>756</v>
      </c>
      <c r="B757" s="3">
        <v>8031</v>
      </c>
      <c r="C757" s="5" t="s">
        <v>3631</v>
      </c>
      <c r="D757" s="5" t="s">
        <v>752</v>
      </c>
      <c r="E757" s="5" t="s">
        <v>2655</v>
      </c>
      <c r="F757" s="3">
        <v>90698</v>
      </c>
      <c r="G757" s="3" t="str">
        <f>"00771454"</f>
        <v>00771454</v>
      </c>
    </row>
    <row r="758" spans="1:7" x14ac:dyDescent="0.25">
      <c r="A758" s="2">
        <v>757</v>
      </c>
      <c r="B758" s="3">
        <v>8238</v>
      </c>
      <c r="C758" s="5" t="s">
        <v>1871</v>
      </c>
      <c r="D758" s="5" t="s">
        <v>187</v>
      </c>
      <c r="E758" s="5" t="s">
        <v>14</v>
      </c>
      <c r="F758" s="3" t="s">
        <v>1872</v>
      </c>
      <c r="G758" s="3" t="str">
        <f>"00682821"</f>
        <v>00682821</v>
      </c>
    </row>
    <row r="759" spans="1:7" x14ac:dyDescent="0.25">
      <c r="A759" s="2">
        <v>758</v>
      </c>
      <c r="B759" s="3">
        <v>944</v>
      </c>
      <c r="C759" s="5" t="s">
        <v>3762</v>
      </c>
      <c r="D759" s="5" t="s">
        <v>366</v>
      </c>
      <c r="E759" s="5" t="s">
        <v>87</v>
      </c>
      <c r="F759" s="3" t="s">
        <v>3763</v>
      </c>
      <c r="G759" s="3" t="str">
        <f>"00983989"</f>
        <v>00983989</v>
      </c>
    </row>
    <row r="760" spans="1:7" x14ac:dyDescent="0.25">
      <c r="A760" s="2">
        <v>759</v>
      </c>
      <c r="B760" s="3">
        <v>2673</v>
      </c>
      <c r="C760" s="5" t="s">
        <v>1632</v>
      </c>
      <c r="D760" s="5" t="s">
        <v>1631</v>
      </c>
      <c r="E760" s="5" t="s">
        <v>38</v>
      </c>
      <c r="F760" s="3" t="s">
        <v>1633</v>
      </c>
      <c r="G760" s="3" t="str">
        <f>"01011827"</f>
        <v>01011827</v>
      </c>
    </row>
    <row r="761" spans="1:7" x14ac:dyDescent="0.25">
      <c r="A761" s="2">
        <v>760</v>
      </c>
      <c r="B761" s="3">
        <v>9966</v>
      </c>
      <c r="C761" s="5" t="s">
        <v>1999</v>
      </c>
      <c r="D761" s="5" t="s">
        <v>416</v>
      </c>
      <c r="E761" s="5" t="s">
        <v>1336</v>
      </c>
      <c r="F761" s="3" t="s">
        <v>2000</v>
      </c>
      <c r="G761" s="3" t="str">
        <f>"00859365"</f>
        <v>00859365</v>
      </c>
    </row>
    <row r="762" spans="1:7" x14ac:dyDescent="0.25">
      <c r="A762" s="2">
        <v>761</v>
      </c>
      <c r="B762" s="3">
        <v>5748</v>
      </c>
      <c r="C762" s="5" t="s">
        <v>193</v>
      </c>
      <c r="D762" s="5" t="s">
        <v>162</v>
      </c>
      <c r="E762" s="5" t="s">
        <v>207</v>
      </c>
      <c r="F762" s="3" t="s">
        <v>194</v>
      </c>
      <c r="G762" s="3" t="str">
        <f>"00154293"</f>
        <v>00154293</v>
      </c>
    </row>
    <row r="763" spans="1:7" x14ac:dyDescent="0.25">
      <c r="A763" s="2">
        <v>762</v>
      </c>
      <c r="B763" s="3">
        <v>4584</v>
      </c>
      <c r="C763" s="5" t="s">
        <v>477</v>
      </c>
      <c r="D763" s="5" t="s">
        <v>476</v>
      </c>
      <c r="E763" s="5" t="s">
        <v>5</v>
      </c>
      <c r="F763" s="3" t="s">
        <v>478</v>
      </c>
      <c r="G763" s="3" t="str">
        <f>"00008661"</f>
        <v>00008661</v>
      </c>
    </row>
    <row r="764" spans="1:7" x14ac:dyDescent="0.25">
      <c r="A764" s="2">
        <v>763</v>
      </c>
      <c r="B764" s="3">
        <v>6121</v>
      </c>
      <c r="C764" s="5" t="s">
        <v>1520</v>
      </c>
      <c r="D764" s="5" t="s">
        <v>1519</v>
      </c>
      <c r="E764" s="5" t="s">
        <v>545</v>
      </c>
      <c r="F764" s="3" t="s">
        <v>1521</v>
      </c>
      <c r="G764" s="3" t="str">
        <f>"00265315"</f>
        <v>00265315</v>
      </c>
    </row>
    <row r="765" spans="1:7" x14ac:dyDescent="0.25">
      <c r="A765" s="2">
        <v>764</v>
      </c>
      <c r="B765" s="3">
        <v>6146</v>
      </c>
      <c r="C765" s="5" t="s">
        <v>2046</v>
      </c>
      <c r="D765" s="5" t="s">
        <v>14</v>
      </c>
      <c r="E765" s="5" t="s">
        <v>32</v>
      </c>
      <c r="F765" s="3" t="s">
        <v>2047</v>
      </c>
      <c r="G765" s="3" t="str">
        <f>"00288602"</f>
        <v>00288602</v>
      </c>
    </row>
    <row r="766" spans="1:7" x14ac:dyDescent="0.25">
      <c r="A766" s="2">
        <v>765</v>
      </c>
      <c r="B766" s="3">
        <v>7580</v>
      </c>
      <c r="C766" s="5" t="s">
        <v>4243</v>
      </c>
      <c r="D766" s="5" t="s">
        <v>126</v>
      </c>
      <c r="E766" s="5" t="s">
        <v>87</v>
      </c>
      <c r="F766" s="3" t="s">
        <v>4244</v>
      </c>
      <c r="G766" s="3" t="str">
        <f>"00740431"</f>
        <v>00740431</v>
      </c>
    </row>
    <row r="767" spans="1:7" x14ac:dyDescent="0.25">
      <c r="A767" s="2">
        <v>766</v>
      </c>
      <c r="B767" s="3">
        <v>4170</v>
      </c>
      <c r="C767" s="5" t="s">
        <v>4047</v>
      </c>
      <c r="D767" s="5" t="s">
        <v>14</v>
      </c>
      <c r="E767" s="5" t="s">
        <v>214</v>
      </c>
      <c r="F767" s="3" t="s">
        <v>4048</v>
      </c>
      <c r="G767" s="3" t="str">
        <f>"00919743"</f>
        <v>00919743</v>
      </c>
    </row>
    <row r="768" spans="1:7" x14ac:dyDescent="0.25">
      <c r="A768" s="2">
        <v>767</v>
      </c>
      <c r="B768" s="3">
        <v>1757</v>
      </c>
      <c r="C768" s="5" t="s">
        <v>2153</v>
      </c>
      <c r="D768" s="5" t="s">
        <v>919</v>
      </c>
      <c r="E768" s="5" t="s">
        <v>545</v>
      </c>
      <c r="F768" s="3" t="s">
        <v>2154</v>
      </c>
      <c r="G768" s="3" t="str">
        <f>"01011307"</f>
        <v>01011307</v>
      </c>
    </row>
    <row r="769" spans="1:7" x14ac:dyDescent="0.25">
      <c r="A769" s="2">
        <v>768</v>
      </c>
      <c r="B769" s="3">
        <v>3272</v>
      </c>
      <c r="C769" s="5" t="s">
        <v>4674</v>
      </c>
      <c r="D769" s="5" t="s">
        <v>609</v>
      </c>
      <c r="E769" s="5" t="s">
        <v>382</v>
      </c>
      <c r="F769" s="3" t="s">
        <v>4675</v>
      </c>
      <c r="G769" s="3" t="str">
        <f>"00778740"</f>
        <v>00778740</v>
      </c>
    </row>
    <row r="770" spans="1:7" x14ac:dyDescent="0.25">
      <c r="A770" s="2">
        <v>769</v>
      </c>
      <c r="B770" s="3">
        <v>4674</v>
      </c>
      <c r="C770" s="5" t="s">
        <v>3445</v>
      </c>
      <c r="D770" s="5" t="s">
        <v>667</v>
      </c>
      <c r="E770" s="5" t="s">
        <v>11</v>
      </c>
      <c r="F770" s="3" t="s">
        <v>3446</v>
      </c>
      <c r="G770" s="3" t="str">
        <f>"00421630"</f>
        <v>00421630</v>
      </c>
    </row>
    <row r="771" spans="1:7" x14ac:dyDescent="0.25">
      <c r="A771" s="2">
        <v>770</v>
      </c>
      <c r="B771" s="3">
        <v>7188</v>
      </c>
      <c r="C771" s="5" t="s">
        <v>2857</v>
      </c>
      <c r="D771" s="5" t="s">
        <v>126</v>
      </c>
      <c r="E771" s="5" t="s">
        <v>44</v>
      </c>
      <c r="F771" s="3" t="s">
        <v>2858</v>
      </c>
      <c r="G771" s="3" t="str">
        <f>"00107529"</f>
        <v>00107529</v>
      </c>
    </row>
    <row r="772" spans="1:7" x14ac:dyDescent="0.25">
      <c r="A772" s="2">
        <v>771</v>
      </c>
      <c r="B772" s="3">
        <v>5811</v>
      </c>
      <c r="C772" s="5" t="s">
        <v>2685</v>
      </c>
      <c r="D772" s="5" t="s">
        <v>5</v>
      </c>
      <c r="E772" s="5" t="s">
        <v>44</v>
      </c>
      <c r="F772" s="3" t="s">
        <v>2686</v>
      </c>
      <c r="G772" s="3" t="str">
        <f>"01014715"</f>
        <v>01014715</v>
      </c>
    </row>
    <row r="773" spans="1:7" x14ac:dyDescent="0.25">
      <c r="A773" s="2">
        <v>772</v>
      </c>
      <c r="B773" s="3">
        <v>2747</v>
      </c>
      <c r="C773" s="5" t="s">
        <v>1961</v>
      </c>
      <c r="D773" s="5" t="s">
        <v>1960</v>
      </c>
      <c r="E773" s="5" t="s">
        <v>52</v>
      </c>
      <c r="F773" s="3" t="s">
        <v>1962</v>
      </c>
      <c r="G773" s="3" t="str">
        <f>"00499201"</f>
        <v>00499201</v>
      </c>
    </row>
    <row r="774" spans="1:7" x14ac:dyDescent="0.25">
      <c r="A774" s="2">
        <v>773</v>
      </c>
      <c r="B774" s="3">
        <v>6626</v>
      </c>
      <c r="C774" s="5" t="s">
        <v>1029</v>
      </c>
      <c r="D774" s="5" t="s">
        <v>1028</v>
      </c>
      <c r="E774" s="5" t="s">
        <v>214</v>
      </c>
      <c r="F774" s="3">
        <v>1049311</v>
      </c>
      <c r="G774" s="3" t="str">
        <f>"01012022"</f>
        <v>01012022</v>
      </c>
    </row>
    <row r="775" spans="1:7" x14ac:dyDescent="0.25">
      <c r="A775" s="2">
        <v>774</v>
      </c>
      <c r="B775" s="3">
        <v>5920</v>
      </c>
      <c r="C775" s="5" t="s">
        <v>3201</v>
      </c>
      <c r="D775" s="5" t="s">
        <v>3200</v>
      </c>
      <c r="E775" s="5" t="s">
        <v>14</v>
      </c>
      <c r="F775" s="3" t="s">
        <v>3202</v>
      </c>
      <c r="G775" s="3" t="str">
        <f>"00972415"</f>
        <v>00972415</v>
      </c>
    </row>
    <row r="776" spans="1:7" x14ac:dyDescent="0.25">
      <c r="A776" s="2">
        <v>775</v>
      </c>
      <c r="B776" s="3">
        <v>10876</v>
      </c>
      <c r="C776" s="5" t="s">
        <v>1140</v>
      </c>
      <c r="D776" s="5" t="s">
        <v>1139</v>
      </c>
      <c r="E776" s="5" t="s">
        <v>135</v>
      </c>
      <c r="F776" s="3" t="s">
        <v>1141</v>
      </c>
      <c r="G776" s="3" t="str">
        <f>"00144969"</f>
        <v>00144969</v>
      </c>
    </row>
    <row r="777" spans="1:7" x14ac:dyDescent="0.25">
      <c r="A777" s="2">
        <v>776</v>
      </c>
      <c r="B777" s="3">
        <v>4804</v>
      </c>
      <c r="C777" s="5" t="s">
        <v>1765</v>
      </c>
      <c r="D777" s="5" t="s">
        <v>1764</v>
      </c>
      <c r="E777" s="5" t="s">
        <v>52</v>
      </c>
      <c r="F777" s="3">
        <v>2737974</v>
      </c>
      <c r="G777" s="3" t="str">
        <f>"00986241"</f>
        <v>00986241</v>
      </c>
    </row>
    <row r="778" spans="1:7" x14ac:dyDescent="0.25">
      <c r="A778" s="2">
        <v>777</v>
      </c>
      <c r="B778" s="3">
        <v>13035</v>
      </c>
      <c r="C778" s="5" t="s">
        <v>455</v>
      </c>
      <c r="D778" s="5" t="s">
        <v>32</v>
      </c>
      <c r="E778" s="5" t="s">
        <v>2020</v>
      </c>
      <c r="F778" s="3" t="s">
        <v>456</v>
      </c>
      <c r="G778" s="3" t="str">
        <f>"00428048"</f>
        <v>00428048</v>
      </c>
    </row>
    <row r="779" spans="1:7" x14ac:dyDescent="0.25">
      <c r="A779" s="2">
        <v>778</v>
      </c>
      <c r="B779" s="3">
        <v>9279</v>
      </c>
      <c r="C779" s="5" t="s">
        <v>4578</v>
      </c>
      <c r="D779" s="5" t="s">
        <v>63</v>
      </c>
      <c r="E779" s="5" t="s">
        <v>87</v>
      </c>
      <c r="F779" s="3" t="s">
        <v>4579</v>
      </c>
      <c r="G779" s="3" t="str">
        <f>"00986711"</f>
        <v>00986711</v>
      </c>
    </row>
    <row r="780" spans="1:7" x14ac:dyDescent="0.25">
      <c r="A780" s="2">
        <v>779</v>
      </c>
      <c r="B780" s="3">
        <v>5186</v>
      </c>
      <c r="C780" s="5" t="s">
        <v>1281</v>
      </c>
      <c r="D780" s="5" t="s">
        <v>457</v>
      </c>
      <c r="E780" s="5" t="s">
        <v>214</v>
      </c>
      <c r="F780" s="3" t="s">
        <v>1282</v>
      </c>
      <c r="G780" s="3" t="str">
        <f>"201604003062"</f>
        <v>201604003062</v>
      </c>
    </row>
    <row r="781" spans="1:7" x14ac:dyDescent="0.25">
      <c r="A781" s="2">
        <v>780</v>
      </c>
      <c r="B781" s="3">
        <v>8253</v>
      </c>
      <c r="C781" s="5" t="s">
        <v>3564</v>
      </c>
      <c r="D781" s="5" t="s">
        <v>487</v>
      </c>
      <c r="E781" s="5" t="s">
        <v>11</v>
      </c>
      <c r="F781" s="3" t="s">
        <v>3565</v>
      </c>
      <c r="G781" s="3" t="str">
        <f>"00969644"</f>
        <v>00969644</v>
      </c>
    </row>
    <row r="782" spans="1:7" x14ac:dyDescent="0.25">
      <c r="A782" s="2">
        <v>781</v>
      </c>
      <c r="B782" s="3">
        <v>3477</v>
      </c>
      <c r="C782" s="5" t="s">
        <v>3482</v>
      </c>
      <c r="D782" s="5" t="s">
        <v>457</v>
      </c>
      <c r="E782" s="5" t="s">
        <v>44</v>
      </c>
      <c r="F782" s="3" t="s">
        <v>3483</v>
      </c>
      <c r="G782" s="3" t="str">
        <f>"00218497"</f>
        <v>00218497</v>
      </c>
    </row>
    <row r="783" spans="1:7" x14ac:dyDescent="0.25">
      <c r="A783" s="2">
        <v>782</v>
      </c>
      <c r="B783" s="3">
        <v>4822</v>
      </c>
      <c r="C783" s="5" t="s">
        <v>2023</v>
      </c>
      <c r="D783" s="5" t="s">
        <v>2022</v>
      </c>
      <c r="E783" s="5" t="s">
        <v>52</v>
      </c>
      <c r="F783" s="3" t="s">
        <v>2024</v>
      </c>
      <c r="G783" s="3" t="str">
        <f>"00125100"</f>
        <v>00125100</v>
      </c>
    </row>
    <row r="784" spans="1:7" x14ac:dyDescent="0.25">
      <c r="A784" s="2">
        <v>783</v>
      </c>
      <c r="B784" s="3">
        <v>4191</v>
      </c>
      <c r="C784" s="5" t="s">
        <v>2509</v>
      </c>
      <c r="D784" s="5" t="s">
        <v>416</v>
      </c>
      <c r="E784" s="5" t="s">
        <v>14</v>
      </c>
      <c r="F784" s="3" t="s">
        <v>2510</v>
      </c>
      <c r="G784" s="3" t="str">
        <f>"00812505"</f>
        <v>00812505</v>
      </c>
    </row>
    <row r="785" spans="1:7" x14ac:dyDescent="0.25">
      <c r="A785" s="2">
        <v>784</v>
      </c>
      <c r="B785" s="3">
        <v>3484</v>
      </c>
      <c r="C785" s="5" t="s">
        <v>1887</v>
      </c>
      <c r="D785" s="5" t="s">
        <v>619</v>
      </c>
      <c r="E785" s="5" t="s">
        <v>588</v>
      </c>
      <c r="F785" s="3" t="s">
        <v>1888</v>
      </c>
      <c r="G785" s="3" t="str">
        <f>"00985421"</f>
        <v>00985421</v>
      </c>
    </row>
    <row r="786" spans="1:7" x14ac:dyDescent="0.25">
      <c r="A786" s="2">
        <v>785</v>
      </c>
      <c r="B786" s="3">
        <v>11117</v>
      </c>
      <c r="C786" s="5" t="s">
        <v>152</v>
      </c>
      <c r="D786" s="5" t="s">
        <v>5</v>
      </c>
      <c r="E786" s="5" t="s">
        <v>135</v>
      </c>
      <c r="F786" s="3" t="s">
        <v>741</v>
      </c>
      <c r="G786" s="3" t="str">
        <f>"00003680"</f>
        <v>00003680</v>
      </c>
    </row>
    <row r="787" spans="1:7" x14ac:dyDescent="0.25">
      <c r="A787" s="2">
        <v>786</v>
      </c>
      <c r="B787" s="3">
        <v>1113</v>
      </c>
      <c r="C787" s="5" t="s">
        <v>152</v>
      </c>
      <c r="D787" s="5" t="s">
        <v>5</v>
      </c>
      <c r="E787" s="5" t="s">
        <v>87</v>
      </c>
      <c r="F787" s="3" t="s">
        <v>3481</v>
      </c>
      <c r="G787" s="3" t="str">
        <f>"00985919"</f>
        <v>00985919</v>
      </c>
    </row>
    <row r="788" spans="1:7" x14ac:dyDescent="0.25">
      <c r="A788" s="2">
        <v>787</v>
      </c>
      <c r="B788" s="3">
        <v>4282</v>
      </c>
      <c r="C788" s="5" t="s">
        <v>152</v>
      </c>
      <c r="D788" s="5" t="s">
        <v>5</v>
      </c>
      <c r="E788" s="5" t="s">
        <v>14</v>
      </c>
      <c r="F788" s="3" t="s">
        <v>153</v>
      </c>
      <c r="G788" s="3" t="str">
        <f>"00981951"</f>
        <v>00981951</v>
      </c>
    </row>
    <row r="789" spans="1:7" x14ac:dyDescent="0.25">
      <c r="A789" s="2">
        <v>788</v>
      </c>
      <c r="B789" s="3">
        <v>6393</v>
      </c>
      <c r="C789" s="5" t="s">
        <v>1766</v>
      </c>
      <c r="D789" s="5" t="s">
        <v>284</v>
      </c>
      <c r="E789" s="5" t="s">
        <v>87</v>
      </c>
      <c r="F789" s="3" t="s">
        <v>1767</v>
      </c>
      <c r="G789" s="3" t="str">
        <f>"00985496"</f>
        <v>00985496</v>
      </c>
    </row>
    <row r="790" spans="1:7" x14ac:dyDescent="0.25">
      <c r="A790" s="2">
        <v>789</v>
      </c>
      <c r="B790" s="3">
        <v>5577</v>
      </c>
      <c r="C790" s="5" t="s">
        <v>4453</v>
      </c>
      <c r="D790" s="5" t="s">
        <v>126</v>
      </c>
      <c r="E790" s="5" t="s">
        <v>41</v>
      </c>
      <c r="F790" s="3" t="s">
        <v>4454</v>
      </c>
      <c r="G790" s="3" t="str">
        <f>"201406006481"</f>
        <v>201406006481</v>
      </c>
    </row>
    <row r="791" spans="1:7" x14ac:dyDescent="0.25">
      <c r="A791" s="2">
        <v>790</v>
      </c>
      <c r="B791" s="3">
        <v>4018</v>
      </c>
      <c r="C791" s="5" t="s">
        <v>2314</v>
      </c>
      <c r="D791" s="5" t="s">
        <v>951</v>
      </c>
      <c r="E791" s="5" t="s">
        <v>52</v>
      </c>
      <c r="F791" s="3" t="s">
        <v>2315</v>
      </c>
      <c r="G791" s="3" t="str">
        <f>"01014127"</f>
        <v>01014127</v>
      </c>
    </row>
    <row r="792" spans="1:7" x14ac:dyDescent="0.25">
      <c r="A792" s="2">
        <v>791</v>
      </c>
      <c r="B792" s="3">
        <v>5522</v>
      </c>
      <c r="C792" s="5" t="s">
        <v>4347</v>
      </c>
      <c r="D792" s="5" t="s">
        <v>284</v>
      </c>
      <c r="E792" s="5" t="s">
        <v>14</v>
      </c>
      <c r="F792" s="3" t="s">
        <v>4348</v>
      </c>
      <c r="G792" s="3" t="str">
        <f>"01011361"</f>
        <v>01011361</v>
      </c>
    </row>
    <row r="793" spans="1:7" x14ac:dyDescent="0.25">
      <c r="A793" s="2">
        <v>792</v>
      </c>
      <c r="B793" s="3">
        <v>2847</v>
      </c>
      <c r="C793" s="5" t="s">
        <v>2773</v>
      </c>
      <c r="D793" s="5" t="s">
        <v>2772</v>
      </c>
      <c r="E793" s="5" t="s">
        <v>52</v>
      </c>
      <c r="F793" s="3">
        <v>32711</v>
      </c>
      <c r="G793" s="3" t="str">
        <f>"01014146"</f>
        <v>01014146</v>
      </c>
    </row>
    <row r="794" spans="1:7" x14ac:dyDescent="0.25">
      <c r="A794" s="2">
        <v>793</v>
      </c>
      <c r="B794" s="3">
        <v>9753</v>
      </c>
      <c r="C794" s="5" t="s">
        <v>332</v>
      </c>
      <c r="D794" s="5" t="s">
        <v>11</v>
      </c>
      <c r="E794" s="5" t="s">
        <v>4789</v>
      </c>
      <c r="F794" s="3" t="s">
        <v>333</v>
      </c>
      <c r="G794" s="3" t="str">
        <f>"01015747"</f>
        <v>01015747</v>
      </c>
    </row>
    <row r="795" spans="1:7" x14ac:dyDescent="0.25">
      <c r="A795" s="2">
        <v>794</v>
      </c>
      <c r="B795" s="3">
        <v>8108</v>
      </c>
      <c r="C795" s="5" t="s">
        <v>1270</v>
      </c>
      <c r="D795" s="5" t="s">
        <v>307</v>
      </c>
      <c r="E795" s="5" t="s">
        <v>87</v>
      </c>
      <c r="F795" s="3" t="s">
        <v>1271</v>
      </c>
      <c r="G795" s="3" t="str">
        <f>"00322007"</f>
        <v>00322007</v>
      </c>
    </row>
    <row r="796" spans="1:7" x14ac:dyDescent="0.25">
      <c r="A796" s="2">
        <v>795</v>
      </c>
      <c r="B796" s="3">
        <v>10360</v>
      </c>
      <c r="C796" s="5" t="s">
        <v>4089</v>
      </c>
      <c r="D796" s="5" t="s">
        <v>853</v>
      </c>
      <c r="E796" s="5" t="s">
        <v>113</v>
      </c>
      <c r="F796" s="3" t="s">
        <v>4090</v>
      </c>
      <c r="G796" s="3" t="str">
        <f>"00120627"</f>
        <v>00120627</v>
      </c>
    </row>
    <row r="797" spans="1:7" x14ac:dyDescent="0.25">
      <c r="A797" s="2">
        <v>796</v>
      </c>
      <c r="B797" s="3">
        <v>11968</v>
      </c>
      <c r="C797" s="5" t="s">
        <v>441</v>
      </c>
      <c r="D797" s="5" t="s">
        <v>440</v>
      </c>
      <c r="E797" s="5" t="s">
        <v>14</v>
      </c>
      <c r="F797" s="3" t="s">
        <v>442</v>
      </c>
      <c r="G797" s="3" t="str">
        <f>"01014109"</f>
        <v>01014109</v>
      </c>
    </row>
    <row r="798" spans="1:7" x14ac:dyDescent="0.25">
      <c r="A798" s="2">
        <v>797</v>
      </c>
      <c r="B798" s="3">
        <v>1644</v>
      </c>
      <c r="C798" s="5" t="s">
        <v>2848</v>
      </c>
      <c r="D798" s="5" t="s">
        <v>87</v>
      </c>
      <c r="E798" s="5" t="s">
        <v>207</v>
      </c>
      <c r="F798" s="3">
        <v>709564015</v>
      </c>
      <c r="G798" s="3" t="str">
        <f>"01016442"</f>
        <v>01016442</v>
      </c>
    </row>
    <row r="799" spans="1:7" x14ac:dyDescent="0.25">
      <c r="A799" s="2">
        <v>798</v>
      </c>
      <c r="B799" s="3">
        <v>633</v>
      </c>
      <c r="C799" s="5" t="s">
        <v>530</v>
      </c>
      <c r="D799" s="5" t="s">
        <v>52</v>
      </c>
      <c r="E799" s="5" t="s">
        <v>214</v>
      </c>
      <c r="F799" s="3" t="s">
        <v>531</v>
      </c>
      <c r="G799" s="3" t="str">
        <f>"00489232"</f>
        <v>00489232</v>
      </c>
    </row>
    <row r="800" spans="1:7" x14ac:dyDescent="0.25">
      <c r="A800" s="2">
        <v>799</v>
      </c>
      <c r="B800" s="3">
        <v>12928</v>
      </c>
      <c r="C800" s="5" t="s">
        <v>3393</v>
      </c>
      <c r="D800" s="5" t="s">
        <v>951</v>
      </c>
      <c r="E800" s="5" t="s">
        <v>14</v>
      </c>
      <c r="F800" s="3" t="s">
        <v>3394</v>
      </c>
      <c r="G800" s="3" t="str">
        <f>"01015649"</f>
        <v>01015649</v>
      </c>
    </row>
    <row r="801" spans="1:7" x14ac:dyDescent="0.25">
      <c r="A801" s="2">
        <v>800</v>
      </c>
      <c r="B801" s="3">
        <v>7332</v>
      </c>
      <c r="C801" s="5" t="s">
        <v>2640</v>
      </c>
      <c r="D801" s="5" t="s">
        <v>752</v>
      </c>
      <c r="E801" s="5" t="s">
        <v>4378</v>
      </c>
      <c r="F801" s="3">
        <v>710204018</v>
      </c>
      <c r="G801" s="3" t="str">
        <f>"01005864"</f>
        <v>01005864</v>
      </c>
    </row>
    <row r="802" spans="1:7" x14ac:dyDescent="0.25">
      <c r="A802" s="2">
        <v>801</v>
      </c>
      <c r="B802" s="3">
        <v>8191</v>
      </c>
      <c r="C802" s="5" t="s">
        <v>4356</v>
      </c>
      <c r="D802" s="5" t="s">
        <v>1259</v>
      </c>
      <c r="E802" s="5" t="s">
        <v>52</v>
      </c>
      <c r="F802" s="3" t="s">
        <v>4357</v>
      </c>
      <c r="G802" s="3" t="str">
        <f>"00985025"</f>
        <v>00985025</v>
      </c>
    </row>
    <row r="803" spans="1:7" x14ac:dyDescent="0.25">
      <c r="A803" s="2">
        <v>802</v>
      </c>
      <c r="B803" s="3">
        <v>9848</v>
      </c>
      <c r="C803" s="5" t="s">
        <v>2073</v>
      </c>
      <c r="D803" s="5" t="s">
        <v>2072</v>
      </c>
      <c r="E803" s="5" t="s">
        <v>4844</v>
      </c>
      <c r="F803" s="3" t="s">
        <v>2074</v>
      </c>
      <c r="G803" s="3" t="str">
        <f>"00985707"</f>
        <v>00985707</v>
      </c>
    </row>
    <row r="804" spans="1:7" x14ac:dyDescent="0.25">
      <c r="A804" s="2">
        <v>803</v>
      </c>
      <c r="B804" s="3">
        <v>4568</v>
      </c>
      <c r="C804" s="5" t="s">
        <v>1496</v>
      </c>
      <c r="D804" s="5" t="s">
        <v>490</v>
      </c>
      <c r="E804" s="5" t="s">
        <v>113</v>
      </c>
      <c r="F804" s="3" t="s">
        <v>3223</v>
      </c>
      <c r="G804" s="3" t="str">
        <f>"00701852"</f>
        <v>00701852</v>
      </c>
    </row>
    <row r="805" spans="1:7" x14ac:dyDescent="0.25">
      <c r="A805" s="2">
        <v>804</v>
      </c>
      <c r="B805" s="3">
        <v>11966</v>
      </c>
      <c r="C805" s="5" t="s">
        <v>1496</v>
      </c>
      <c r="D805" s="5" t="s">
        <v>865</v>
      </c>
      <c r="E805" s="5" t="s">
        <v>113</v>
      </c>
      <c r="F805" s="3" t="s">
        <v>1497</v>
      </c>
      <c r="G805" s="3" t="str">
        <f>"00875314"</f>
        <v>00875314</v>
      </c>
    </row>
    <row r="806" spans="1:7" x14ac:dyDescent="0.25">
      <c r="A806" s="2">
        <v>805</v>
      </c>
      <c r="B806" s="3">
        <v>8690</v>
      </c>
      <c r="C806" s="5" t="s">
        <v>1388</v>
      </c>
      <c r="D806" s="5" t="s">
        <v>14</v>
      </c>
      <c r="E806" s="5" t="s">
        <v>1891</v>
      </c>
      <c r="F806" s="3" t="s">
        <v>1389</v>
      </c>
      <c r="G806" s="3" t="str">
        <f>"00298153"</f>
        <v>00298153</v>
      </c>
    </row>
    <row r="807" spans="1:7" x14ac:dyDescent="0.25">
      <c r="A807" s="2">
        <v>806</v>
      </c>
      <c r="B807" s="3">
        <v>11273</v>
      </c>
      <c r="C807" s="5" t="s">
        <v>204</v>
      </c>
      <c r="D807" s="5" t="s">
        <v>5</v>
      </c>
      <c r="E807" s="5" t="s">
        <v>545</v>
      </c>
      <c r="F807" s="3">
        <v>900728011</v>
      </c>
      <c r="G807" s="3" t="str">
        <f>"00541914"</f>
        <v>00541914</v>
      </c>
    </row>
    <row r="808" spans="1:7" x14ac:dyDescent="0.25">
      <c r="A808" s="2">
        <v>807</v>
      </c>
      <c r="B808" s="3">
        <v>10033</v>
      </c>
      <c r="C808" s="5" t="s">
        <v>1113</v>
      </c>
      <c r="D808" s="5" t="s">
        <v>52</v>
      </c>
      <c r="E808" s="5" t="s">
        <v>11</v>
      </c>
      <c r="F808" s="3" t="s">
        <v>1114</v>
      </c>
      <c r="G808" s="3" t="str">
        <f>"00161222"</f>
        <v>00161222</v>
      </c>
    </row>
    <row r="809" spans="1:7" x14ac:dyDescent="0.25">
      <c r="A809" s="2">
        <v>808</v>
      </c>
      <c r="B809" s="3">
        <v>10834</v>
      </c>
      <c r="C809" s="5" t="s">
        <v>2586</v>
      </c>
      <c r="D809" s="5" t="s">
        <v>11</v>
      </c>
      <c r="E809" s="5" t="s">
        <v>5</v>
      </c>
      <c r="F809" s="3" t="s">
        <v>2587</v>
      </c>
      <c r="G809" s="3" t="str">
        <f>"01016198"</f>
        <v>01016198</v>
      </c>
    </row>
    <row r="810" spans="1:7" x14ac:dyDescent="0.25">
      <c r="A810" s="2">
        <v>809</v>
      </c>
      <c r="B810" s="3">
        <v>5863</v>
      </c>
      <c r="C810" s="5" t="s">
        <v>2222</v>
      </c>
      <c r="D810" s="5" t="s">
        <v>44</v>
      </c>
      <c r="E810" s="5" t="s">
        <v>27</v>
      </c>
      <c r="F810" s="3" t="s">
        <v>2223</v>
      </c>
      <c r="G810" s="3" t="str">
        <f>"00977363"</f>
        <v>00977363</v>
      </c>
    </row>
    <row r="811" spans="1:7" x14ac:dyDescent="0.25">
      <c r="A811" s="2">
        <v>810</v>
      </c>
      <c r="B811" s="3">
        <v>11845</v>
      </c>
      <c r="C811" s="5" t="s">
        <v>4014</v>
      </c>
      <c r="D811" s="5" t="s">
        <v>1432</v>
      </c>
      <c r="E811" s="5" t="s">
        <v>44</v>
      </c>
      <c r="F811" s="3" t="s">
        <v>4015</v>
      </c>
      <c r="G811" s="3" t="str">
        <f>"00985161"</f>
        <v>00985161</v>
      </c>
    </row>
    <row r="812" spans="1:7" x14ac:dyDescent="0.25">
      <c r="A812" s="2">
        <v>811</v>
      </c>
      <c r="B812" s="3">
        <v>9583</v>
      </c>
      <c r="C812" s="5" t="s">
        <v>4686</v>
      </c>
      <c r="D812" s="5" t="s">
        <v>4061</v>
      </c>
      <c r="E812" s="5" t="s">
        <v>5</v>
      </c>
      <c r="F812" s="3" t="s">
        <v>4687</v>
      </c>
      <c r="G812" s="3" t="str">
        <f>"00981314"</f>
        <v>00981314</v>
      </c>
    </row>
    <row r="813" spans="1:7" x14ac:dyDescent="0.25">
      <c r="A813" s="2">
        <v>812</v>
      </c>
      <c r="B813" s="3">
        <v>12078</v>
      </c>
      <c r="C813" s="5" t="s">
        <v>3458</v>
      </c>
      <c r="D813" s="5" t="s">
        <v>3457</v>
      </c>
      <c r="E813" s="5" t="s">
        <v>14</v>
      </c>
      <c r="F813" s="3" t="s">
        <v>3459</v>
      </c>
      <c r="G813" s="3" t="str">
        <f>"01016417"</f>
        <v>01016417</v>
      </c>
    </row>
    <row r="814" spans="1:7" x14ac:dyDescent="0.25">
      <c r="A814" s="2">
        <v>813</v>
      </c>
      <c r="B814" s="3">
        <v>2749</v>
      </c>
      <c r="C814" s="5" t="s">
        <v>4504</v>
      </c>
      <c r="D814" s="5" t="s">
        <v>555</v>
      </c>
      <c r="E814" s="5" t="s">
        <v>129</v>
      </c>
      <c r="F814" s="3" t="s">
        <v>4505</v>
      </c>
      <c r="G814" s="3" t="str">
        <f>"00982593"</f>
        <v>00982593</v>
      </c>
    </row>
    <row r="815" spans="1:7" x14ac:dyDescent="0.25">
      <c r="A815" s="2">
        <v>814</v>
      </c>
      <c r="B815" s="3">
        <v>7041</v>
      </c>
      <c r="C815" s="5" t="s">
        <v>350</v>
      </c>
      <c r="D815" s="5" t="s">
        <v>18</v>
      </c>
      <c r="E815" s="5" t="s">
        <v>14</v>
      </c>
      <c r="F815" s="3" t="s">
        <v>351</v>
      </c>
      <c r="G815" s="3" t="str">
        <f>"00728585"</f>
        <v>00728585</v>
      </c>
    </row>
    <row r="816" spans="1:7" x14ac:dyDescent="0.25">
      <c r="A816" s="2">
        <v>815</v>
      </c>
      <c r="B816" s="3">
        <v>8631</v>
      </c>
      <c r="C816" s="5" t="s">
        <v>350</v>
      </c>
      <c r="D816" s="5" t="s">
        <v>2326</v>
      </c>
      <c r="E816" s="5" t="s">
        <v>284</v>
      </c>
      <c r="F816" s="3" t="s">
        <v>2327</v>
      </c>
      <c r="G816" s="3" t="str">
        <f>"00793897"</f>
        <v>00793897</v>
      </c>
    </row>
    <row r="817" spans="1:7" x14ac:dyDescent="0.25">
      <c r="A817" s="2">
        <v>816</v>
      </c>
      <c r="B817" s="3">
        <v>6922</v>
      </c>
      <c r="C817" s="5" t="s">
        <v>3523</v>
      </c>
      <c r="D817" s="5" t="s">
        <v>3522</v>
      </c>
      <c r="E817" s="5" t="s">
        <v>82</v>
      </c>
      <c r="F817" s="3" t="s">
        <v>3524</v>
      </c>
      <c r="G817" s="3" t="str">
        <f>"00980833"</f>
        <v>00980833</v>
      </c>
    </row>
    <row r="818" spans="1:7" x14ac:dyDescent="0.25">
      <c r="A818" s="2">
        <v>817</v>
      </c>
      <c r="B818" s="3">
        <v>9284</v>
      </c>
      <c r="C818" s="5" t="s">
        <v>1875</v>
      </c>
      <c r="D818" s="5" t="s">
        <v>919</v>
      </c>
      <c r="E818" s="5" t="s">
        <v>41</v>
      </c>
      <c r="F818" s="3" t="s">
        <v>1876</v>
      </c>
      <c r="G818" s="3" t="str">
        <f>"201604003319"</f>
        <v>201604003319</v>
      </c>
    </row>
    <row r="819" spans="1:7" x14ac:dyDescent="0.25">
      <c r="A819" s="2">
        <v>818</v>
      </c>
      <c r="B819" s="3">
        <v>8574</v>
      </c>
      <c r="C819" s="5" t="s">
        <v>3838</v>
      </c>
      <c r="D819" s="5" t="s">
        <v>32</v>
      </c>
      <c r="E819" s="5" t="s">
        <v>52</v>
      </c>
      <c r="F819" s="3" t="s">
        <v>3839</v>
      </c>
      <c r="G819" s="3" t="str">
        <f>"00849944"</f>
        <v>00849944</v>
      </c>
    </row>
    <row r="820" spans="1:7" x14ac:dyDescent="0.25">
      <c r="A820" s="2">
        <v>819</v>
      </c>
      <c r="B820" s="3">
        <v>7092</v>
      </c>
      <c r="C820" s="5" t="s">
        <v>488</v>
      </c>
      <c r="D820" s="5" t="s">
        <v>487</v>
      </c>
      <c r="E820" s="5" t="s">
        <v>14</v>
      </c>
      <c r="F820" s="3" t="s">
        <v>489</v>
      </c>
      <c r="G820" s="3" t="str">
        <f>"00970307"</f>
        <v>00970307</v>
      </c>
    </row>
    <row r="821" spans="1:7" x14ac:dyDescent="0.25">
      <c r="A821" s="2">
        <v>820</v>
      </c>
      <c r="B821" s="3">
        <v>11534</v>
      </c>
      <c r="C821" s="5" t="s">
        <v>348</v>
      </c>
      <c r="D821" s="5" t="s">
        <v>123</v>
      </c>
      <c r="E821" s="5" t="s">
        <v>705</v>
      </c>
      <c r="F821" s="3" t="s">
        <v>349</v>
      </c>
      <c r="G821" s="3" t="str">
        <f>"00997440"</f>
        <v>00997440</v>
      </c>
    </row>
    <row r="822" spans="1:7" x14ac:dyDescent="0.25">
      <c r="A822" s="2">
        <v>821</v>
      </c>
      <c r="B822" s="3">
        <v>12253</v>
      </c>
      <c r="C822" s="5" t="s">
        <v>2357</v>
      </c>
      <c r="D822" s="5" t="s">
        <v>545</v>
      </c>
      <c r="E822" s="5" t="s">
        <v>87</v>
      </c>
      <c r="F822" s="3" t="s">
        <v>2358</v>
      </c>
      <c r="G822" s="3" t="str">
        <f>"01016946"</f>
        <v>01016946</v>
      </c>
    </row>
    <row r="823" spans="1:7" x14ac:dyDescent="0.25">
      <c r="A823" s="2">
        <v>822</v>
      </c>
      <c r="B823" s="3">
        <v>10433</v>
      </c>
      <c r="C823" s="5" t="s">
        <v>1877</v>
      </c>
      <c r="D823" s="5" t="s">
        <v>82</v>
      </c>
      <c r="E823" s="5" t="s">
        <v>14</v>
      </c>
      <c r="F823" s="3" t="s">
        <v>1878</v>
      </c>
      <c r="G823" s="3" t="str">
        <f>"201511022922"</f>
        <v>201511022922</v>
      </c>
    </row>
    <row r="824" spans="1:7" x14ac:dyDescent="0.25">
      <c r="A824" s="2">
        <v>823</v>
      </c>
      <c r="B824" s="3">
        <v>9267</v>
      </c>
      <c r="C824" s="5" t="s">
        <v>1703</v>
      </c>
      <c r="D824" s="5" t="s">
        <v>11</v>
      </c>
      <c r="E824" s="5" t="s">
        <v>252</v>
      </c>
      <c r="F824" s="3" t="s">
        <v>1704</v>
      </c>
      <c r="G824" s="3" t="str">
        <f>"00448517"</f>
        <v>00448517</v>
      </c>
    </row>
    <row r="825" spans="1:7" x14ac:dyDescent="0.25">
      <c r="A825" s="2">
        <v>824</v>
      </c>
      <c r="B825" s="3">
        <v>11866</v>
      </c>
      <c r="C825" s="5" t="s">
        <v>2166</v>
      </c>
      <c r="D825" s="5" t="s">
        <v>5</v>
      </c>
      <c r="E825" s="5" t="s">
        <v>588</v>
      </c>
      <c r="F825" s="3" t="s">
        <v>2167</v>
      </c>
      <c r="G825" s="3" t="str">
        <f>"00981103"</f>
        <v>00981103</v>
      </c>
    </row>
    <row r="826" spans="1:7" x14ac:dyDescent="0.25">
      <c r="A826" s="2">
        <v>825</v>
      </c>
      <c r="B826" s="3">
        <v>9555</v>
      </c>
      <c r="C826" s="5" t="s">
        <v>1529</v>
      </c>
      <c r="D826" s="5" t="s">
        <v>87</v>
      </c>
      <c r="E826" s="5" t="s">
        <v>214</v>
      </c>
      <c r="F826" s="3" t="s">
        <v>1530</v>
      </c>
      <c r="G826" s="3" t="str">
        <f>"01016452"</f>
        <v>01016452</v>
      </c>
    </row>
    <row r="827" spans="1:7" x14ac:dyDescent="0.25">
      <c r="A827" s="2">
        <v>826</v>
      </c>
      <c r="B827" s="3">
        <v>12530</v>
      </c>
      <c r="C827" s="5" t="s">
        <v>1473</v>
      </c>
      <c r="D827" s="5" t="s">
        <v>358</v>
      </c>
      <c r="E827" s="5" t="s">
        <v>11</v>
      </c>
      <c r="F827" s="3" t="s">
        <v>1474</v>
      </c>
      <c r="G827" s="3" t="str">
        <f>"00197630"</f>
        <v>00197630</v>
      </c>
    </row>
    <row r="828" spans="1:7" x14ac:dyDescent="0.25">
      <c r="A828" s="2">
        <v>827</v>
      </c>
      <c r="B828" s="3">
        <v>9524</v>
      </c>
      <c r="C828" s="5" t="s">
        <v>1574</v>
      </c>
      <c r="D828" s="5" t="s">
        <v>52</v>
      </c>
      <c r="E828" s="5" t="s">
        <v>32</v>
      </c>
      <c r="F828" s="3" t="s">
        <v>1575</v>
      </c>
      <c r="G828" s="3" t="str">
        <f>"00985827"</f>
        <v>00985827</v>
      </c>
    </row>
    <row r="829" spans="1:7" x14ac:dyDescent="0.25">
      <c r="A829" s="2">
        <v>828</v>
      </c>
      <c r="B829" s="3">
        <v>5169</v>
      </c>
      <c r="C829" s="5" t="s">
        <v>2465</v>
      </c>
      <c r="D829" s="5" t="s">
        <v>2464</v>
      </c>
      <c r="E829" s="5" t="s">
        <v>4855</v>
      </c>
      <c r="F829" s="3" t="s">
        <v>2466</v>
      </c>
      <c r="G829" s="3" t="str">
        <f>"00448000"</f>
        <v>00448000</v>
      </c>
    </row>
    <row r="830" spans="1:7" x14ac:dyDescent="0.25">
      <c r="A830" s="2">
        <v>829</v>
      </c>
      <c r="B830" s="3">
        <v>6422</v>
      </c>
      <c r="C830" s="5" t="s">
        <v>2295</v>
      </c>
      <c r="D830" s="5" t="s">
        <v>1204</v>
      </c>
      <c r="E830" s="5" t="s">
        <v>284</v>
      </c>
      <c r="F830" s="3" t="s">
        <v>2296</v>
      </c>
      <c r="G830" s="3" t="str">
        <f>"01015776"</f>
        <v>01015776</v>
      </c>
    </row>
    <row r="831" spans="1:7" x14ac:dyDescent="0.25">
      <c r="A831" s="2">
        <v>830</v>
      </c>
      <c r="B831" s="3">
        <v>1568</v>
      </c>
      <c r="C831" s="5" t="s">
        <v>3468</v>
      </c>
      <c r="D831" s="5" t="s">
        <v>1046</v>
      </c>
      <c r="E831" s="5" t="s">
        <v>129</v>
      </c>
      <c r="F831" s="3" t="s">
        <v>3469</v>
      </c>
      <c r="G831" s="3" t="str">
        <f>"01011798"</f>
        <v>01011798</v>
      </c>
    </row>
    <row r="832" spans="1:7" x14ac:dyDescent="0.25">
      <c r="A832" s="2">
        <v>831</v>
      </c>
      <c r="B832" s="3">
        <v>8284</v>
      </c>
      <c r="C832" s="5" t="s">
        <v>2725</v>
      </c>
      <c r="D832" s="5" t="s">
        <v>539</v>
      </c>
      <c r="E832" s="5" t="s">
        <v>14</v>
      </c>
      <c r="F832" s="3" t="s">
        <v>2726</v>
      </c>
      <c r="G832" s="3" t="str">
        <f>"01012410"</f>
        <v>01012410</v>
      </c>
    </row>
    <row r="833" spans="1:7" x14ac:dyDescent="0.25">
      <c r="A833" s="2">
        <v>832</v>
      </c>
      <c r="B833" s="3">
        <v>6410</v>
      </c>
      <c r="C833" s="5" t="s">
        <v>1997</v>
      </c>
      <c r="D833" s="5" t="s">
        <v>11</v>
      </c>
      <c r="E833" s="5" t="s">
        <v>32</v>
      </c>
      <c r="F833" s="3" t="s">
        <v>1998</v>
      </c>
      <c r="G833" s="3" t="str">
        <f>"00794256"</f>
        <v>00794256</v>
      </c>
    </row>
    <row r="834" spans="1:7" x14ac:dyDescent="0.25">
      <c r="A834" s="2">
        <v>833</v>
      </c>
      <c r="B834" s="3">
        <v>3510</v>
      </c>
      <c r="C834" s="5" t="s">
        <v>4561</v>
      </c>
      <c r="D834" s="5" t="s">
        <v>1194</v>
      </c>
      <c r="E834" s="5" t="s">
        <v>32</v>
      </c>
      <c r="F834" s="3" t="s">
        <v>4562</v>
      </c>
      <c r="G834" s="3" t="str">
        <f>"00688369"</f>
        <v>00688369</v>
      </c>
    </row>
    <row r="835" spans="1:7" x14ac:dyDescent="0.25">
      <c r="A835" s="2">
        <v>834</v>
      </c>
      <c r="B835" s="3">
        <v>10936</v>
      </c>
      <c r="C835" s="5" t="s">
        <v>771</v>
      </c>
      <c r="D835" s="5" t="s">
        <v>87</v>
      </c>
      <c r="E835" s="5" t="s">
        <v>32</v>
      </c>
      <c r="F835" s="3" t="s">
        <v>772</v>
      </c>
      <c r="G835" s="3" t="str">
        <f>"201502000661"</f>
        <v>201502000661</v>
      </c>
    </row>
    <row r="836" spans="1:7" x14ac:dyDescent="0.25">
      <c r="A836" s="2">
        <v>835</v>
      </c>
      <c r="B836" s="3">
        <v>1442</v>
      </c>
      <c r="C836" s="5" t="s">
        <v>4539</v>
      </c>
      <c r="D836" s="5" t="s">
        <v>52</v>
      </c>
      <c r="E836" s="5" t="s">
        <v>11</v>
      </c>
      <c r="F836" s="3" t="s">
        <v>4540</v>
      </c>
      <c r="G836" s="3" t="str">
        <f>"00314977"</f>
        <v>00314977</v>
      </c>
    </row>
    <row r="837" spans="1:7" x14ac:dyDescent="0.25">
      <c r="A837" s="2">
        <v>836</v>
      </c>
      <c r="B837" s="3">
        <v>663</v>
      </c>
      <c r="C837" s="5" t="s">
        <v>3277</v>
      </c>
      <c r="D837" s="5" t="s">
        <v>545</v>
      </c>
      <c r="E837" s="5" t="s">
        <v>11</v>
      </c>
      <c r="F837" s="3" t="s">
        <v>3278</v>
      </c>
      <c r="G837" s="3" t="str">
        <f>"01016642"</f>
        <v>01016642</v>
      </c>
    </row>
    <row r="838" spans="1:7" x14ac:dyDescent="0.25">
      <c r="A838" s="2">
        <v>837</v>
      </c>
      <c r="B838" s="3">
        <v>3360</v>
      </c>
      <c r="C838" s="5" t="s">
        <v>337</v>
      </c>
      <c r="D838" s="5" t="s">
        <v>82</v>
      </c>
      <c r="E838" s="5" t="s">
        <v>102</v>
      </c>
      <c r="F838" s="3" t="s">
        <v>338</v>
      </c>
      <c r="G838" s="3" t="str">
        <f>"00447073"</f>
        <v>00447073</v>
      </c>
    </row>
    <row r="839" spans="1:7" x14ac:dyDescent="0.25">
      <c r="A839" s="2">
        <v>838</v>
      </c>
      <c r="B839" s="3">
        <v>11144</v>
      </c>
      <c r="C839" s="5" t="s">
        <v>3233</v>
      </c>
      <c r="D839" s="5" t="s">
        <v>1432</v>
      </c>
      <c r="E839" s="5" t="s">
        <v>87</v>
      </c>
      <c r="F839" s="3" t="s">
        <v>3234</v>
      </c>
      <c r="G839" s="3" t="str">
        <f>"01011743"</f>
        <v>01011743</v>
      </c>
    </row>
    <row r="840" spans="1:7" x14ac:dyDescent="0.25">
      <c r="A840" s="2">
        <v>839</v>
      </c>
      <c r="B840" s="3">
        <v>4870</v>
      </c>
      <c r="C840" s="5" t="s">
        <v>699</v>
      </c>
      <c r="D840" s="5" t="s">
        <v>284</v>
      </c>
      <c r="E840" s="5" t="s">
        <v>1432</v>
      </c>
      <c r="F840" s="3" t="s">
        <v>700</v>
      </c>
      <c r="G840" s="3" t="str">
        <f>"00756599"</f>
        <v>00756599</v>
      </c>
    </row>
    <row r="841" spans="1:7" x14ac:dyDescent="0.25">
      <c r="A841" s="2">
        <v>840</v>
      </c>
      <c r="B841" s="3">
        <v>4562</v>
      </c>
      <c r="C841" s="5" t="s">
        <v>2924</v>
      </c>
      <c r="D841" s="5" t="s">
        <v>2923</v>
      </c>
      <c r="E841" s="5" t="s">
        <v>52</v>
      </c>
      <c r="F841" s="3" t="s">
        <v>2925</v>
      </c>
      <c r="G841" s="3" t="str">
        <f>"00986152"</f>
        <v>00986152</v>
      </c>
    </row>
    <row r="842" spans="1:7" x14ac:dyDescent="0.25">
      <c r="A842" s="2">
        <v>841</v>
      </c>
      <c r="B842" s="3">
        <v>6466</v>
      </c>
      <c r="C842" s="5" t="s">
        <v>4354</v>
      </c>
      <c r="D842" s="5" t="s">
        <v>622</v>
      </c>
      <c r="E842" s="5" t="s">
        <v>4908</v>
      </c>
      <c r="F842" s="3">
        <v>900884012</v>
      </c>
      <c r="G842" s="3" t="str">
        <f>"00670200"</f>
        <v>00670200</v>
      </c>
    </row>
    <row r="843" spans="1:7" x14ac:dyDescent="0.25">
      <c r="A843" s="2">
        <v>842</v>
      </c>
      <c r="B843" s="3">
        <v>11241</v>
      </c>
      <c r="C843" s="5" t="s">
        <v>1736</v>
      </c>
      <c r="D843" s="5" t="s">
        <v>11</v>
      </c>
      <c r="E843" s="5" t="s">
        <v>87</v>
      </c>
      <c r="F843" s="3" t="s">
        <v>1737</v>
      </c>
      <c r="G843" s="3" t="str">
        <f>"00806305"</f>
        <v>00806305</v>
      </c>
    </row>
    <row r="844" spans="1:7" x14ac:dyDescent="0.25">
      <c r="A844" s="2">
        <v>843</v>
      </c>
      <c r="B844" s="3">
        <v>6810</v>
      </c>
      <c r="C844" s="5" t="s">
        <v>3066</v>
      </c>
      <c r="D844" s="5" t="s">
        <v>490</v>
      </c>
      <c r="E844" s="5" t="s">
        <v>27</v>
      </c>
      <c r="F844" s="3" t="s">
        <v>3067</v>
      </c>
      <c r="G844" s="3" t="str">
        <f>"00683863"</f>
        <v>00683863</v>
      </c>
    </row>
    <row r="845" spans="1:7" x14ac:dyDescent="0.25">
      <c r="A845" s="2">
        <v>844</v>
      </c>
      <c r="B845" s="3">
        <v>3912</v>
      </c>
      <c r="C845" s="5" t="s">
        <v>1584</v>
      </c>
      <c r="D845" s="5" t="s">
        <v>11</v>
      </c>
      <c r="E845" s="5" t="s">
        <v>44</v>
      </c>
      <c r="F845" s="3" t="s">
        <v>1585</v>
      </c>
      <c r="G845" s="3" t="str">
        <f>"00443035"</f>
        <v>00443035</v>
      </c>
    </row>
    <row r="846" spans="1:7" x14ac:dyDescent="0.25">
      <c r="A846" s="2">
        <v>845</v>
      </c>
      <c r="B846" s="3">
        <v>5819</v>
      </c>
      <c r="C846" s="5" t="s">
        <v>612</v>
      </c>
      <c r="D846" s="5" t="s">
        <v>555</v>
      </c>
      <c r="E846" s="5" t="s">
        <v>382</v>
      </c>
      <c r="F846" s="3" t="s">
        <v>613</v>
      </c>
      <c r="G846" s="3" t="str">
        <f>"00215772"</f>
        <v>00215772</v>
      </c>
    </row>
    <row r="847" spans="1:7" x14ac:dyDescent="0.25">
      <c r="A847" s="2">
        <v>846</v>
      </c>
      <c r="B847" s="3">
        <v>11773</v>
      </c>
      <c r="C847" s="5" t="s">
        <v>1116</v>
      </c>
      <c r="D847" s="5" t="s">
        <v>1115</v>
      </c>
      <c r="E847" s="5" t="s">
        <v>87</v>
      </c>
      <c r="F847" s="3" t="s">
        <v>1117</v>
      </c>
      <c r="G847" s="3" t="str">
        <f>"00447336"</f>
        <v>00447336</v>
      </c>
    </row>
    <row r="848" spans="1:7" x14ac:dyDescent="0.25">
      <c r="A848" s="2">
        <v>847</v>
      </c>
      <c r="B848" s="3">
        <v>10185</v>
      </c>
      <c r="C848" s="5" t="s">
        <v>658</v>
      </c>
      <c r="D848" s="5" t="s">
        <v>657</v>
      </c>
      <c r="E848" s="5" t="s">
        <v>14</v>
      </c>
      <c r="F848" s="3" t="s">
        <v>659</v>
      </c>
      <c r="G848" s="3" t="str">
        <f>"00980460"</f>
        <v>00980460</v>
      </c>
    </row>
    <row r="849" spans="1:7" x14ac:dyDescent="0.25">
      <c r="A849" s="2">
        <v>848</v>
      </c>
      <c r="B849" s="3">
        <v>11604</v>
      </c>
      <c r="C849" s="5" t="s">
        <v>4033</v>
      </c>
      <c r="D849" s="5" t="s">
        <v>4032</v>
      </c>
      <c r="E849" s="5" t="s">
        <v>667</v>
      </c>
      <c r="F849" s="3" t="s">
        <v>4034</v>
      </c>
      <c r="G849" s="3" t="str">
        <f>"00218751"</f>
        <v>00218751</v>
      </c>
    </row>
    <row r="850" spans="1:7" x14ac:dyDescent="0.25">
      <c r="A850" s="2">
        <v>849</v>
      </c>
      <c r="B850" s="3">
        <v>8056</v>
      </c>
      <c r="C850" s="5" t="s">
        <v>4393</v>
      </c>
      <c r="D850" s="5" t="s">
        <v>4392</v>
      </c>
      <c r="E850" s="5" t="s">
        <v>2786</v>
      </c>
      <c r="F850" s="3" t="s">
        <v>4394</v>
      </c>
      <c r="G850" s="3" t="str">
        <f>"201502003035"</f>
        <v>201502003035</v>
      </c>
    </row>
    <row r="851" spans="1:7" x14ac:dyDescent="0.25">
      <c r="A851" s="2">
        <v>850</v>
      </c>
      <c r="B851" s="3">
        <v>9065</v>
      </c>
      <c r="C851" s="5" t="s">
        <v>3123</v>
      </c>
      <c r="D851" s="5" t="s">
        <v>588</v>
      </c>
      <c r="E851" s="5" t="s">
        <v>622</v>
      </c>
      <c r="F851" s="3" t="s">
        <v>3124</v>
      </c>
      <c r="G851" s="3" t="str">
        <f>"00982508"</f>
        <v>00982508</v>
      </c>
    </row>
    <row r="852" spans="1:7" x14ac:dyDescent="0.25">
      <c r="A852" s="2">
        <v>851</v>
      </c>
      <c r="B852" s="3">
        <v>1477</v>
      </c>
      <c r="C852" s="5" t="s">
        <v>2134</v>
      </c>
      <c r="D852" s="5" t="s">
        <v>588</v>
      </c>
      <c r="E852" s="5" t="s">
        <v>91</v>
      </c>
      <c r="F852" s="3" t="s">
        <v>2135</v>
      </c>
      <c r="G852" s="3" t="str">
        <f>"01011769"</f>
        <v>01011769</v>
      </c>
    </row>
    <row r="853" spans="1:7" x14ac:dyDescent="0.25">
      <c r="A853" s="2">
        <v>852</v>
      </c>
      <c r="B853" s="3">
        <v>10768</v>
      </c>
      <c r="C853" s="5" t="s">
        <v>2865</v>
      </c>
      <c r="D853" s="5" t="s">
        <v>532</v>
      </c>
      <c r="E853" s="5" t="s">
        <v>4866</v>
      </c>
      <c r="F853" s="3" t="s">
        <v>2866</v>
      </c>
      <c r="G853" s="3" t="str">
        <f>"00986388"</f>
        <v>00986388</v>
      </c>
    </row>
    <row r="854" spans="1:7" x14ac:dyDescent="0.25">
      <c r="A854" s="2">
        <v>853</v>
      </c>
      <c r="B854" s="3">
        <v>8098</v>
      </c>
      <c r="C854" s="5" t="s">
        <v>3990</v>
      </c>
      <c r="D854" s="5" t="s">
        <v>865</v>
      </c>
      <c r="E854" s="5" t="s">
        <v>32</v>
      </c>
      <c r="F854" s="3" t="s">
        <v>3991</v>
      </c>
      <c r="G854" s="3" t="str">
        <f>"00971408"</f>
        <v>00971408</v>
      </c>
    </row>
    <row r="855" spans="1:7" x14ac:dyDescent="0.25">
      <c r="A855" s="2">
        <v>854</v>
      </c>
      <c r="B855" s="3">
        <v>9743</v>
      </c>
      <c r="C855" s="5" t="s">
        <v>2127</v>
      </c>
      <c r="D855" s="5" t="s">
        <v>126</v>
      </c>
      <c r="E855" s="5" t="s">
        <v>87</v>
      </c>
      <c r="F855" s="3" t="s">
        <v>2128</v>
      </c>
      <c r="G855" s="3" t="str">
        <f>"00744899"</f>
        <v>00744899</v>
      </c>
    </row>
    <row r="856" spans="1:7" x14ac:dyDescent="0.25">
      <c r="A856" s="2">
        <v>855</v>
      </c>
      <c r="B856" s="3">
        <v>8949</v>
      </c>
      <c r="C856" s="5" t="s">
        <v>2070</v>
      </c>
      <c r="D856" s="5" t="s">
        <v>2069</v>
      </c>
      <c r="E856" s="5" t="s">
        <v>2400</v>
      </c>
      <c r="F856" s="3" t="s">
        <v>2071</v>
      </c>
      <c r="G856" s="3" t="str">
        <f>"00983896"</f>
        <v>00983896</v>
      </c>
    </row>
    <row r="857" spans="1:7" x14ac:dyDescent="0.25">
      <c r="A857" s="2">
        <v>856</v>
      </c>
      <c r="B857" s="3">
        <v>754</v>
      </c>
      <c r="C857" s="5" t="s">
        <v>3975</v>
      </c>
      <c r="D857" s="5" t="s">
        <v>3974</v>
      </c>
      <c r="E857" s="5" t="s">
        <v>27</v>
      </c>
      <c r="F857" s="3" t="s">
        <v>3976</v>
      </c>
      <c r="G857" s="3" t="str">
        <f>"01016106"</f>
        <v>01016106</v>
      </c>
    </row>
    <row r="858" spans="1:7" x14ac:dyDescent="0.25">
      <c r="A858" s="2">
        <v>857</v>
      </c>
      <c r="B858" s="3">
        <v>10065</v>
      </c>
      <c r="C858" s="5" t="s">
        <v>1460</v>
      </c>
      <c r="D858" s="5" t="s">
        <v>129</v>
      </c>
      <c r="E858" s="5" t="s">
        <v>284</v>
      </c>
      <c r="F858" s="3" t="s">
        <v>1461</v>
      </c>
      <c r="G858" s="3" t="str">
        <f>"201507002654"</f>
        <v>201507002654</v>
      </c>
    </row>
    <row r="859" spans="1:7" x14ac:dyDescent="0.25">
      <c r="A859" s="2">
        <v>858</v>
      </c>
      <c r="B859" s="3">
        <v>9052</v>
      </c>
      <c r="C859" s="5" t="s">
        <v>4052</v>
      </c>
      <c r="D859" s="5" t="s">
        <v>198</v>
      </c>
      <c r="E859" s="5" t="s">
        <v>87</v>
      </c>
      <c r="F859" s="3" t="s">
        <v>4053</v>
      </c>
      <c r="G859" s="3" t="str">
        <f>"00784468"</f>
        <v>00784468</v>
      </c>
    </row>
    <row r="860" spans="1:7" x14ac:dyDescent="0.25">
      <c r="A860" s="2">
        <v>859</v>
      </c>
      <c r="B860" s="3">
        <v>9873</v>
      </c>
      <c r="C860" s="5" t="s">
        <v>1576</v>
      </c>
      <c r="D860" s="5" t="s">
        <v>696</v>
      </c>
      <c r="E860" s="5" t="s">
        <v>635</v>
      </c>
      <c r="F860" s="3" t="s">
        <v>1577</v>
      </c>
      <c r="G860" s="3" t="str">
        <f>"00166035"</f>
        <v>00166035</v>
      </c>
    </row>
    <row r="861" spans="1:7" x14ac:dyDescent="0.25">
      <c r="A861" s="2">
        <v>860</v>
      </c>
      <c r="B861" s="3">
        <v>10346</v>
      </c>
      <c r="C861" s="5" t="s">
        <v>1695</v>
      </c>
      <c r="D861" s="5" t="s">
        <v>1694</v>
      </c>
      <c r="E861" s="5" t="s">
        <v>2659</v>
      </c>
      <c r="F861" s="3" t="s">
        <v>1696</v>
      </c>
      <c r="G861" s="3" t="str">
        <f>"00975896"</f>
        <v>00975896</v>
      </c>
    </row>
    <row r="862" spans="1:7" x14ac:dyDescent="0.25">
      <c r="A862" s="2">
        <v>861</v>
      </c>
      <c r="B862" s="3">
        <v>11402</v>
      </c>
      <c r="C862" s="5" t="s">
        <v>2208</v>
      </c>
      <c r="D862" s="5" t="s">
        <v>1705</v>
      </c>
      <c r="E862" s="5" t="s">
        <v>14</v>
      </c>
      <c r="F862" s="3" t="s">
        <v>2209</v>
      </c>
      <c r="G862" s="3" t="str">
        <f>"01007816"</f>
        <v>01007816</v>
      </c>
    </row>
    <row r="863" spans="1:7" x14ac:dyDescent="0.25">
      <c r="A863" s="2">
        <v>862</v>
      </c>
      <c r="B863" s="3">
        <v>10285</v>
      </c>
      <c r="C863" s="5" t="s">
        <v>4743</v>
      </c>
      <c r="D863" s="5" t="s">
        <v>115</v>
      </c>
      <c r="E863" s="5" t="s">
        <v>32</v>
      </c>
      <c r="F863" s="3" t="s">
        <v>4744</v>
      </c>
      <c r="G863" s="3" t="str">
        <f>"00300501"</f>
        <v>00300501</v>
      </c>
    </row>
    <row r="864" spans="1:7" x14ac:dyDescent="0.25">
      <c r="A864" s="2">
        <v>863</v>
      </c>
      <c r="B864" s="3">
        <v>9721</v>
      </c>
      <c r="C864" s="5" t="s">
        <v>4054</v>
      </c>
      <c r="D864" s="5" t="s">
        <v>184</v>
      </c>
      <c r="E864" s="5" t="s">
        <v>14</v>
      </c>
      <c r="F864" s="3" t="s">
        <v>4055</v>
      </c>
      <c r="G864" s="3" t="str">
        <f>"201410004510"</f>
        <v>201410004510</v>
      </c>
    </row>
    <row r="865" spans="1:7" x14ac:dyDescent="0.25">
      <c r="A865" s="2">
        <v>864</v>
      </c>
      <c r="B865" s="3">
        <v>10569</v>
      </c>
      <c r="C865" s="5" t="s">
        <v>562</v>
      </c>
      <c r="D865" s="5" t="s">
        <v>561</v>
      </c>
      <c r="E865" s="5" t="s">
        <v>44</v>
      </c>
      <c r="F865" s="3" t="s">
        <v>563</v>
      </c>
      <c r="G865" s="3" t="str">
        <f>"01014814"</f>
        <v>01014814</v>
      </c>
    </row>
    <row r="866" spans="1:7" x14ac:dyDescent="0.25">
      <c r="A866" s="2">
        <v>865</v>
      </c>
      <c r="B866" s="3">
        <v>11946</v>
      </c>
      <c r="C866" s="5" t="s">
        <v>1355</v>
      </c>
      <c r="D866" s="5" t="s">
        <v>66</v>
      </c>
      <c r="E866" s="5" t="s">
        <v>1292</v>
      </c>
      <c r="F866" s="3" t="s">
        <v>1356</v>
      </c>
      <c r="G866" s="3" t="str">
        <f>"00582614"</f>
        <v>00582614</v>
      </c>
    </row>
    <row r="867" spans="1:7" x14ac:dyDescent="0.25">
      <c r="A867" s="2">
        <v>866</v>
      </c>
      <c r="B867" s="3">
        <v>2930</v>
      </c>
      <c r="C867" s="5" t="s">
        <v>3901</v>
      </c>
      <c r="D867" s="5" t="s">
        <v>667</v>
      </c>
      <c r="E867" s="5" t="s">
        <v>44</v>
      </c>
      <c r="F867" s="3" t="s">
        <v>3902</v>
      </c>
      <c r="G867" s="3" t="str">
        <f>"201604000599"</f>
        <v>201604000599</v>
      </c>
    </row>
    <row r="868" spans="1:7" x14ac:dyDescent="0.25">
      <c r="A868" s="2">
        <v>867</v>
      </c>
      <c r="B868" s="3">
        <v>7585</v>
      </c>
      <c r="C868" s="5" t="s">
        <v>1268</v>
      </c>
      <c r="D868" s="5" t="s">
        <v>487</v>
      </c>
      <c r="E868" s="5" t="s">
        <v>41</v>
      </c>
      <c r="F868" s="3" t="s">
        <v>1269</v>
      </c>
      <c r="G868" s="3" t="str">
        <f>"01013986"</f>
        <v>01013986</v>
      </c>
    </row>
    <row r="869" spans="1:7" x14ac:dyDescent="0.25">
      <c r="A869" s="2">
        <v>868</v>
      </c>
      <c r="B869" s="3">
        <v>4765</v>
      </c>
      <c r="C869" s="5" t="s">
        <v>3776</v>
      </c>
      <c r="D869" s="5" t="s">
        <v>3775</v>
      </c>
      <c r="E869" s="5" t="s">
        <v>14</v>
      </c>
      <c r="F869" s="3" t="s">
        <v>3777</v>
      </c>
      <c r="G869" s="3" t="str">
        <f>"00816545"</f>
        <v>00816545</v>
      </c>
    </row>
    <row r="870" spans="1:7" x14ac:dyDescent="0.25">
      <c r="A870" s="2">
        <v>869</v>
      </c>
      <c r="B870" s="3">
        <v>11477</v>
      </c>
      <c r="C870" s="5" t="s">
        <v>2695</v>
      </c>
      <c r="D870" s="5" t="s">
        <v>2694</v>
      </c>
      <c r="E870" s="5" t="s">
        <v>135</v>
      </c>
      <c r="F870" s="3" t="s">
        <v>2696</v>
      </c>
      <c r="G870" s="3" t="str">
        <f>"00982306"</f>
        <v>00982306</v>
      </c>
    </row>
    <row r="871" spans="1:7" x14ac:dyDescent="0.25">
      <c r="A871" s="2">
        <v>870</v>
      </c>
      <c r="B871" s="3">
        <v>1554</v>
      </c>
      <c r="C871" s="5" t="s">
        <v>140</v>
      </c>
      <c r="D871" s="5" t="s">
        <v>18</v>
      </c>
      <c r="E871" s="5" t="s">
        <v>82</v>
      </c>
      <c r="F871" s="3" t="s">
        <v>141</v>
      </c>
      <c r="G871" s="3" t="str">
        <f>"00183728"</f>
        <v>00183728</v>
      </c>
    </row>
    <row r="872" spans="1:7" x14ac:dyDescent="0.25">
      <c r="A872" s="2">
        <v>871</v>
      </c>
      <c r="B872" s="3">
        <v>4149</v>
      </c>
      <c r="C872" s="5" t="s">
        <v>150</v>
      </c>
      <c r="D872" s="5" t="s">
        <v>149</v>
      </c>
      <c r="E872" s="5" t="s">
        <v>87</v>
      </c>
      <c r="F872" s="3" t="s">
        <v>151</v>
      </c>
      <c r="G872" s="3" t="str">
        <f>"00711253"</f>
        <v>00711253</v>
      </c>
    </row>
    <row r="873" spans="1:7" x14ac:dyDescent="0.25">
      <c r="A873" s="2">
        <v>872</v>
      </c>
      <c r="B873" s="3">
        <v>7020</v>
      </c>
      <c r="C873" s="5" t="s">
        <v>3439</v>
      </c>
      <c r="D873" s="5" t="s">
        <v>3438</v>
      </c>
      <c r="E873" s="5" t="s">
        <v>63</v>
      </c>
      <c r="F873" s="3" t="s">
        <v>3440</v>
      </c>
      <c r="G873" s="3" t="str">
        <f>"01016695"</f>
        <v>01016695</v>
      </c>
    </row>
    <row r="874" spans="1:7" x14ac:dyDescent="0.25">
      <c r="A874" s="2">
        <v>873</v>
      </c>
      <c r="B874" s="3">
        <v>11811</v>
      </c>
      <c r="C874" s="5" t="s">
        <v>4161</v>
      </c>
      <c r="D874" s="5" t="s">
        <v>4160</v>
      </c>
      <c r="E874" s="5" t="s">
        <v>87</v>
      </c>
      <c r="F874" s="3" t="s">
        <v>4162</v>
      </c>
      <c r="G874" s="3" t="str">
        <f>"01015364"</f>
        <v>01015364</v>
      </c>
    </row>
    <row r="875" spans="1:7" x14ac:dyDescent="0.25">
      <c r="A875" s="2">
        <v>874</v>
      </c>
      <c r="B875" s="3">
        <v>1747</v>
      </c>
      <c r="C875" s="5" t="s">
        <v>714</v>
      </c>
      <c r="D875" s="5" t="s">
        <v>14</v>
      </c>
      <c r="E875" s="5" t="s">
        <v>5</v>
      </c>
      <c r="F875" s="3" t="s">
        <v>715</v>
      </c>
      <c r="G875" s="3" t="str">
        <f>"201410010103"</f>
        <v>201410010103</v>
      </c>
    </row>
    <row r="876" spans="1:7" x14ac:dyDescent="0.25">
      <c r="A876" s="2">
        <v>875</v>
      </c>
      <c r="B876" s="3">
        <v>12692</v>
      </c>
      <c r="C876" s="5" t="s">
        <v>714</v>
      </c>
      <c r="D876" s="5" t="s">
        <v>129</v>
      </c>
      <c r="E876" s="5" t="s">
        <v>5</v>
      </c>
      <c r="F876" s="3" t="s">
        <v>4318</v>
      </c>
      <c r="G876" s="3" t="str">
        <f>"01012501"</f>
        <v>01012501</v>
      </c>
    </row>
    <row r="877" spans="1:7" x14ac:dyDescent="0.25">
      <c r="A877" s="2">
        <v>876</v>
      </c>
      <c r="B877" s="3">
        <v>6573</v>
      </c>
      <c r="C877" s="5" t="s">
        <v>3213</v>
      </c>
      <c r="D877" s="5" t="s">
        <v>52</v>
      </c>
      <c r="E877" s="5" t="s">
        <v>252</v>
      </c>
      <c r="F877" s="3" t="s">
        <v>3214</v>
      </c>
      <c r="G877" s="3" t="str">
        <f>"00010964"</f>
        <v>00010964</v>
      </c>
    </row>
    <row r="878" spans="1:7" x14ac:dyDescent="0.25">
      <c r="A878" s="2">
        <v>877</v>
      </c>
      <c r="B878" s="3">
        <v>1167</v>
      </c>
      <c r="C878" s="5" t="s">
        <v>2621</v>
      </c>
      <c r="D878" s="5" t="s">
        <v>87</v>
      </c>
      <c r="E878" s="5" t="s">
        <v>382</v>
      </c>
      <c r="F878" s="3" t="s">
        <v>2622</v>
      </c>
      <c r="G878" s="3" t="str">
        <f>"00869232"</f>
        <v>00869232</v>
      </c>
    </row>
    <row r="879" spans="1:7" x14ac:dyDescent="0.25">
      <c r="A879" s="2">
        <v>878</v>
      </c>
      <c r="B879" s="3">
        <v>6650</v>
      </c>
      <c r="C879" s="5" t="s">
        <v>223</v>
      </c>
      <c r="D879" s="5" t="s">
        <v>222</v>
      </c>
      <c r="E879" s="5" t="s">
        <v>52</v>
      </c>
      <c r="F879" s="3" t="s">
        <v>224</v>
      </c>
      <c r="G879" s="3" t="str">
        <f>"00996963"</f>
        <v>00996963</v>
      </c>
    </row>
    <row r="880" spans="1:7" x14ac:dyDescent="0.25">
      <c r="A880" s="2">
        <v>879</v>
      </c>
      <c r="B880" s="3">
        <v>10960</v>
      </c>
      <c r="C880" s="5" t="s">
        <v>2756</v>
      </c>
      <c r="D880" s="5" t="s">
        <v>113</v>
      </c>
      <c r="E880" s="5" t="s">
        <v>52</v>
      </c>
      <c r="F880" s="3">
        <v>2012282</v>
      </c>
      <c r="G880" s="3" t="str">
        <f>"01000818"</f>
        <v>01000818</v>
      </c>
    </row>
    <row r="881" spans="1:7" x14ac:dyDescent="0.25">
      <c r="A881" s="2">
        <v>880</v>
      </c>
      <c r="B881" s="3">
        <v>6365</v>
      </c>
      <c r="C881" s="5" t="s">
        <v>2756</v>
      </c>
      <c r="D881" s="5" t="s">
        <v>632</v>
      </c>
      <c r="E881" s="5" t="s">
        <v>32</v>
      </c>
      <c r="F881" s="3" t="s">
        <v>3521</v>
      </c>
      <c r="G881" s="3" t="str">
        <f>"00934553"</f>
        <v>00934553</v>
      </c>
    </row>
    <row r="882" spans="1:7" x14ac:dyDescent="0.25">
      <c r="A882" s="2">
        <v>881</v>
      </c>
      <c r="B882" s="3">
        <v>4996</v>
      </c>
      <c r="C882" s="5" t="s">
        <v>1637</v>
      </c>
      <c r="D882" s="5" t="s">
        <v>11</v>
      </c>
      <c r="E882" s="5" t="s">
        <v>87</v>
      </c>
      <c r="F882" s="3" t="s">
        <v>1638</v>
      </c>
      <c r="G882" s="3" t="str">
        <f>"201412002825"</f>
        <v>201412002825</v>
      </c>
    </row>
    <row r="883" spans="1:7" x14ac:dyDescent="0.25">
      <c r="A883" s="2">
        <v>882</v>
      </c>
      <c r="B883" s="3">
        <v>1749</v>
      </c>
      <c r="C883" s="5" t="s">
        <v>2849</v>
      </c>
      <c r="D883" s="5" t="s">
        <v>14</v>
      </c>
      <c r="E883" s="5" t="s">
        <v>35</v>
      </c>
      <c r="F883" s="3" t="s">
        <v>2850</v>
      </c>
      <c r="G883" s="3" t="str">
        <f>"00994970"</f>
        <v>00994970</v>
      </c>
    </row>
    <row r="884" spans="1:7" x14ac:dyDescent="0.25">
      <c r="A884" s="2">
        <v>883</v>
      </c>
      <c r="B884" s="3">
        <v>11157</v>
      </c>
      <c r="C884" s="5" t="s">
        <v>1360</v>
      </c>
      <c r="D884" s="5" t="s">
        <v>63</v>
      </c>
      <c r="E884" s="5" t="s">
        <v>4564</v>
      </c>
      <c r="F884" s="3" t="s">
        <v>3045</v>
      </c>
      <c r="G884" s="3" t="str">
        <f>"00426383"</f>
        <v>00426383</v>
      </c>
    </row>
    <row r="885" spans="1:7" x14ac:dyDescent="0.25">
      <c r="A885" s="2">
        <v>884</v>
      </c>
      <c r="B885" s="3">
        <v>12790</v>
      </c>
      <c r="C885" s="5" t="s">
        <v>1360</v>
      </c>
      <c r="D885" s="5" t="s">
        <v>11</v>
      </c>
      <c r="E885" s="5" t="s">
        <v>14</v>
      </c>
      <c r="F885" s="3" t="s">
        <v>1361</v>
      </c>
      <c r="G885" s="3" t="str">
        <f>"00005987"</f>
        <v>00005987</v>
      </c>
    </row>
    <row r="886" spans="1:7" x14ac:dyDescent="0.25">
      <c r="A886" s="2">
        <v>885</v>
      </c>
      <c r="B886" s="3">
        <v>11179</v>
      </c>
      <c r="C886" s="5" t="s">
        <v>2939</v>
      </c>
      <c r="D886" s="5" t="s">
        <v>32</v>
      </c>
      <c r="E886" s="5" t="s">
        <v>11</v>
      </c>
      <c r="F886" s="3" t="s">
        <v>2940</v>
      </c>
      <c r="G886" s="3" t="str">
        <f>"01016968"</f>
        <v>01016968</v>
      </c>
    </row>
    <row r="887" spans="1:7" x14ac:dyDescent="0.25">
      <c r="A887" s="2">
        <v>886</v>
      </c>
      <c r="B887" s="3">
        <v>6826</v>
      </c>
      <c r="C887" s="5" t="s">
        <v>4475</v>
      </c>
      <c r="D887" s="5" t="s">
        <v>773</v>
      </c>
      <c r="E887" s="5" t="s">
        <v>94</v>
      </c>
      <c r="F887" s="3" t="s">
        <v>4476</v>
      </c>
      <c r="G887" s="3" t="str">
        <f>"00984939"</f>
        <v>00984939</v>
      </c>
    </row>
    <row r="888" spans="1:7" x14ac:dyDescent="0.25">
      <c r="A888" s="2">
        <v>887</v>
      </c>
      <c r="B888" s="3">
        <v>9680</v>
      </c>
      <c r="C888" s="5" t="s">
        <v>3307</v>
      </c>
      <c r="D888" s="5" t="s">
        <v>14</v>
      </c>
      <c r="E888" s="5" t="s">
        <v>52</v>
      </c>
      <c r="F888" s="3" t="s">
        <v>3308</v>
      </c>
      <c r="G888" s="3" t="str">
        <f>"00478329"</f>
        <v>00478329</v>
      </c>
    </row>
    <row r="889" spans="1:7" x14ac:dyDescent="0.25">
      <c r="A889" s="2">
        <v>888</v>
      </c>
      <c r="B889" s="3">
        <v>9181</v>
      </c>
      <c r="C889" s="5" t="s">
        <v>3527</v>
      </c>
      <c r="D889" s="5" t="s">
        <v>366</v>
      </c>
      <c r="E889" s="5" t="s">
        <v>32</v>
      </c>
      <c r="F889" s="3" t="s">
        <v>3528</v>
      </c>
      <c r="G889" s="3" t="str">
        <f>"201604001108"</f>
        <v>201604001108</v>
      </c>
    </row>
    <row r="890" spans="1:7" x14ac:dyDescent="0.25">
      <c r="A890" s="2">
        <v>889</v>
      </c>
      <c r="B890" s="3">
        <v>3089</v>
      </c>
      <c r="C890" s="5" t="s">
        <v>408</v>
      </c>
      <c r="D890" s="5" t="s">
        <v>129</v>
      </c>
      <c r="E890" s="5" t="s">
        <v>44</v>
      </c>
      <c r="F890" s="3" t="s">
        <v>409</v>
      </c>
      <c r="G890" s="3" t="str">
        <f>"00845886"</f>
        <v>00845886</v>
      </c>
    </row>
    <row r="891" spans="1:7" x14ac:dyDescent="0.25">
      <c r="A891" s="2">
        <v>890</v>
      </c>
      <c r="B891" s="3">
        <v>6640</v>
      </c>
      <c r="C891" s="5" t="s">
        <v>19</v>
      </c>
      <c r="D891" s="5" t="s">
        <v>18</v>
      </c>
      <c r="E891" s="5" t="s">
        <v>11</v>
      </c>
      <c r="F891" s="3" t="s">
        <v>20</v>
      </c>
      <c r="G891" s="3" t="str">
        <f>"00488358"</f>
        <v>00488358</v>
      </c>
    </row>
    <row r="892" spans="1:7" x14ac:dyDescent="0.25">
      <c r="A892" s="2">
        <v>891</v>
      </c>
      <c r="B892" s="3">
        <v>6563</v>
      </c>
      <c r="C892" s="5" t="s">
        <v>485</v>
      </c>
      <c r="D892" s="5" t="s">
        <v>484</v>
      </c>
      <c r="E892" s="5" t="s">
        <v>14</v>
      </c>
      <c r="F892" s="3" t="s">
        <v>486</v>
      </c>
      <c r="G892" s="3" t="str">
        <f>"00554579"</f>
        <v>00554579</v>
      </c>
    </row>
    <row r="893" spans="1:7" x14ac:dyDescent="0.25">
      <c r="A893" s="2">
        <v>892</v>
      </c>
      <c r="B893" s="3">
        <v>8824</v>
      </c>
      <c r="C893" s="5" t="s">
        <v>896</v>
      </c>
      <c r="D893" s="5" t="s">
        <v>895</v>
      </c>
      <c r="E893" s="5" t="s">
        <v>87</v>
      </c>
      <c r="F893" s="3" t="s">
        <v>897</v>
      </c>
      <c r="G893" s="3" t="str">
        <f>"00784166"</f>
        <v>00784166</v>
      </c>
    </row>
    <row r="894" spans="1:7" x14ac:dyDescent="0.25">
      <c r="A894" s="2">
        <v>893</v>
      </c>
      <c r="B894" s="3">
        <v>12604</v>
      </c>
      <c r="C894" s="5" t="s">
        <v>1477</v>
      </c>
      <c r="D894" s="5" t="s">
        <v>52</v>
      </c>
      <c r="E894" s="5" t="s">
        <v>41</v>
      </c>
      <c r="F894" s="3" t="s">
        <v>1478</v>
      </c>
      <c r="G894" s="3" t="str">
        <f>"00198101"</f>
        <v>00198101</v>
      </c>
    </row>
    <row r="895" spans="1:7" x14ac:dyDescent="0.25">
      <c r="A895" s="2">
        <v>894</v>
      </c>
      <c r="B895" s="3">
        <v>2876</v>
      </c>
      <c r="C895" s="5" t="s">
        <v>1249</v>
      </c>
      <c r="D895" s="5" t="s">
        <v>667</v>
      </c>
      <c r="E895" s="5" t="s">
        <v>3856</v>
      </c>
      <c r="F895" s="3">
        <v>26614</v>
      </c>
      <c r="G895" s="3" t="str">
        <f>"00993488"</f>
        <v>00993488</v>
      </c>
    </row>
    <row r="896" spans="1:7" x14ac:dyDescent="0.25">
      <c r="A896" s="2">
        <v>895</v>
      </c>
      <c r="B896" s="3">
        <v>7810</v>
      </c>
      <c r="C896" s="5" t="s">
        <v>243</v>
      </c>
      <c r="D896" s="5" t="s">
        <v>52</v>
      </c>
      <c r="E896" s="5" t="s">
        <v>44</v>
      </c>
      <c r="F896" s="3" t="s">
        <v>244</v>
      </c>
      <c r="G896" s="3" t="str">
        <f>"201406001754"</f>
        <v>201406001754</v>
      </c>
    </row>
    <row r="897" spans="1:7" x14ac:dyDescent="0.25">
      <c r="A897" s="2">
        <v>896</v>
      </c>
      <c r="B897" s="3">
        <v>9554</v>
      </c>
      <c r="C897" s="5" t="s">
        <v>2635</v>
      </c>
      <c r="D897" s="5" t="s">
        <v>14</v>
      </c>
      <c r="E897" s="5" t="s">
        <v>87</v>
      </c>
      <c r="F897" s="3" t="s">
        <v>2887</v>
      </c>
      <c r="G897" s="3" t="str">
        <f>"00886426"</f>
        <v>00886426</v>
      </c>
    </row>
    <row r="898" spans="1:7" x14ac:dyDescent="0.25">
      <c r="A898" s="2">
        <v>897</v>
      </c>
      <c r="B898" s="3">
        <v>6511</v>
      </c>
      <c r="C898" s="5" t="s">
        <v>2635</v>
      </c>
      <c r="D898" s="5" t="s">
        <v>129</v>
      </c>
      <c r="E898" s="5" t="s">
        <v>5</v>
      </c>
      <c r="F898" s="3" t="s">
        <v>2636</v>
      </c>
      <c r="G898" s="3" t="str">
        <f>"00094804"</f>
        <v>00094804</v>
      </c>
    </row>
    <row r="899" spans="1:7" x14ac:dyDescent="0.25">
      <c r="A899" s="2">
        <v>898</v>
      </c>
      <c r="B899" s="3">
        <v>8547</v>
      </c>
      <c r="C899" s="5" t="s">
        <v>308</v>
      </c>
      <c r="D899" s="5" t="s">
        <v>647</v>
      </c>
      <c r="E899" s="5" t="s">
        <v>545</v>
      </c>
      <c r="F899" s="3" t="s">
        <v>2860</v>
      </c>
      <c r="G899" s="3" t="str">
        <f>"01016748"</f>
        <v>01016748</v>
      </c>
    </row>
    <row r="900" spans="1:7" x14ac:dyDescent="0.25">
      <c r="A900" s="2">
        <v>899</v>
      </c>
      <c r="B900" s="3">
        <v>5271</v>
      </c>
      <c r="C900" s="5" t="s">
        <v>308</v>
      </c>
      <c r="D900" s="5" t="s">
        <v>159</v>
      </c>
      <c r="E900" s="5" t="s">
        <v>38</v>
      </c>
      <c r="F900" s="3" t="s">
        <v>2126</v>
      </c>
      <c r="G900" s="3" t="str">
        <f>"01016954"</f>
        <v>01016954</v>
      </c>
    </row>
    <row r="901" spans="1:7" x14ac:dyDescent="0.25">
      <c r="A901" s="2">
        <v>900</v>
      </c>
      <c r="B901" s="3">
        <v>4786</v>
      </c>
      <c r="C901" s="5" t="s">
        <v>308</v>
      </c>
      <c r="D901" s="5" t="s">
        <v>307</v>
      </c>
      <c r="E901" s="5" t="s">
        <v>2659</v>
      </c>
      <c r="F901" s="3" t="s">
        <v>309</v>
      </c>
      <c r="G901" s="3" t="str">
        <f>"00549815"</f>
        <v>00549815</v>
      </c>
    </row>
    <row r="902" spans="1:7" x14ac:dyDescent="0.25">
      <c r="A902" s="2">
        <v>901</v>
      </c>
      <c r="B902" s="3">
        <v>2127</v>
      </c>
      <c r="C902" s="5" t="s">
        <v>4198</v>
      </c>
      <c r="D902" s="5" t="s">
        <v>52</v>
      </c>
      <c r="E902" s="5" t="s">
        <v>284</v>
      </c>
      <c r="F902" s="3" t="s">
        <v>4199</v>
      </c>
      <c r="G902" s="3" t="str">
        <f>"00994326"</f>
        <v>00994326</v>
      </c>
    </row>
    <row r="903" spans="1:7" x14ac:dyDescent="0.25">
      <c r="A903" s="2">
        <v>902</v>
      </c>
      <c r="B903" s="3">
        <v>10039</v>
      </c>
      <c r="C903" s="5" t="s">
        <v>3353</v>
      </c>
      <c r="D903" s="5" t="s">
        <v>3352</v>
      </c>
      <c r="E903" s="5" t="s">
        <v>1432</v>
      </c>
      <c r="F903" s="3" t="s">
        <v>3354</v>
      </c>
      <c r="G903" s="3" t="str">
        <f>"01014535"</f>
        <v>01014535</v>
      </c>
    </row>
    <row r="904" spans="1:7" x14ac:dyDescent="0.25">
      <c r="A904" s="2">
        <v>903</v>
      </c>
      <c r="B904" s="3">
        <v>8999</v>
      </c>
      <c r="C904" s="5" t="s">
        <v>972</v>
      </c>
      <c r="D904" s="5" t="s">
        <v>971</v>
      </c>
      <c r="E904" s="5" t="s">
        <v>4808</v>
      </c>
      <c r="F904" s="3" t="s">
        <v>973</v>
      </c>
      <c r="G904" s="3" t="str">
        <f>"00537109"</f>
        <v>00537109</v>
      </c>
    </row>
    <row r="905" spans="1:7" x14ac:dyDescent="0.25">
      <c r="A905" s="2">
        <v>904</v>
      </c>
      <c r="B905" s="3">
        <v>7211</v>
      </c>
      <c r="C905" s="5" t="s">
        <v>2140</v>
      </c>
      <c r="D905" s="5" t="s">
        <v>126</v>
      </c>
      <c r="E905" s="5" t="s">
        <v>52</v>
      </c>
      <c r="F905" s="3" t="s">
        <v>2141</v>
      </c>
      <c r="G905" s="3" t="str">
        <f>"01015188"</f>
        <v>01015188</v>
      </c>
    </row>
    <row r="906" spans="1:7" x14ac:dyDescent="0.25">
      <c r="A906" s="2">
        <v>905</v>
      </c>
      <c r="B906" s="3">
        <v>2939</v>
      </c>
      <c r="C906" s="5" t="s">
        <v>1013</v>
      </c>
      <c r="D906" s="5" t="s">
        <v>107</v>
      </c>
      <c r="E906" s="5" t="s">
        <v>5</v>
      </c>
      <c r="F906" s="3" t="s">
        <v>1014</v>
      </c>
      <c r="G906" s="3" t="str">
        <f>"00871400"</f>
        <v>00871400</v>
      </c>
    </row>
    <row r="907" spans="1:7" x14ac:dyDescent="0.25">
      <c r="A907" s="2">
        <v>906</v>
      </c>
      <c r="B907" s="3">
        <v>7256</v>
      </c>
      <c r="C907" s="5" t="s">
        <v>756</v>
      </c>
      <c r="D907" s="5" t="s">
        <v>87</v>
      </c>
      <c r="E907" s="5" t="s">
        <v>214</v>
      </c>
      <c r="F907" s="3">
        <v>900870013</v>
      </c>
      <c r="G907" s="3" t="str">
        <f>"00815930"</f>
        <v>00815930</v>
      </c>
    </row>
    <row r="908" spans="1:7" x14ac:dyDescent="0.25">
      <c r="A908" s="2">
        <v>907</v>
      </c>
      <c r="B908" s="3">
        <v>1739</v>
      </c>
      <c r="C908" s="5" t="s">
        <v>756</v>
      </c>
      <c r="D908" s="5" t="s">
        <v>52</v>
      </c>
      <c r="E908" s="5" t="s">
        <v>11</v>
      </c>
      <c r="F908" s="3">
        <v>33273</v>
      </c>
      <c r="G908" s="3" t="str">
        <f>"01015680"</f>
        <v>01015680</v>
      </c>
    </row>
    <row r="909" spans="1:7" x14ac:dyDescent="0.25">
      <c r="A909" s="2">
        <v>908</v>
      </c>
      <c r="B909" s="3">
        <v>6638</v>
      </c>
      <c r="C909" s="5" t="s">
        <v>756</v>
      </c>
      <c r="D909" s="5" t="s">
        <v>755</v>
      </c>
      <c r="E909" s="5" t="s">
        <v>94</v>
      </c>
      <c r="F909" s="3" t="s">
        <v>757</v>
      </c>
      <c r="G909" s="3" t="str">
        <f>"00828450"</f>
        <v>00828450</v>
      </c>
    </row>
    <row r="910" spans="1:7" x14ac:dyDescent="0.25">
      <c r="A910" s="2">
        <v>909</v>
      </c>
      <c r="B910" s="3">
        <v>1915</v>
      </c>
      <c r="C910" s="5" t="s">
        <v>756</v>
      </c>
      <c r="D910" s="5" t="s">
        <v>129</v>
      </c>
      <c r="E910" s="5" t="s">
        <v>4835</v>
      </c>
      <c r="F910" s="3" t="s">
        <v>1821</v>
      </c>
      <c r="G910" s="3" t="str">
        <f>"00446464"</f>
        <v>00446464</v>
      </c>
    </row>
    <row r="911" spans="1:7" x14ac:dyDescent="0.25">
      <c r="A911" s="2">
        <v>910</v>
      </c>
      <c r="B911" s="3">
        <v>6210</v>
      </c>
      <c r="C911" s="5" t="s">
        <v>2486</v>
      </c>
      <c r="D911" s="5" t="s">
        <v>561</v>
      </c>
      <c r="E911" s="5" t="s">
        <v>52</v>
      </c>
      <c r="F911" s="3" t="s">
        <v>2487</v>
      </c>
      <c r="G911" s="3" t="str">
        <f>"00429997"</f>
        <v>00429997</v>
      </c>
    </row>
    <row r="912" spans="1:7" x14ac:dyDescent="0.25">
      <c r="A912" s="2">
        <v>911</v>
      </c>
      <c r="B912" s="3">
        <v>12038</v>
      </c>
      <c r="C912" s="5" t="s">
        <v>957</v>
      </c>
      <c r="D912" s="5" t="s">
        <v>44</v>
      </c>
      <c r="E912" s="5" t="s">
        <v>545</v>
      </c>
      <c r="F912" s="3" t="s">
        <v>4446</v>
      </c>
      <c r="G912" s="3" t="str">
        <f>"00735316"</f>
        <v>00735316</v>
      </c>
    </row>
    <row r="913" spans="1:7" x14ac:dyDescent="0.25">
      <c r="A913" s="2">
        <v>912</v>
      </c>
      <c r="B913" s="3">
        <v>6946</v>
      </c>
      <c r="C913" s="5" t="s">
        <v>957</v>
      </c>
      <c r="D913" s="5" t="s">
        <v>956</v>
      </c>
      <c r="E913" s="5" t="s">
        <v>129</v>
      </c>
      <c r="F913" s="3" t="s">
        <v>958</v>
      </c>
      <c r="G913" s="3" t="str">
        <f>"00925721"</f>
        <v>00925721</v>
      </c>
    </row>
    <row r="914" spans="1:7" x14ac:dyDescent="0.25">
      <c r="A914" s="2">
        <v>913</v>
      </c>
      <c r="B914" s="3">
        <v>4478</v>
      </c>
      <c r="C914" s="5" t="s">
        <v>3958</v>
      </c>
      <c r="D914" s="5" t="s">
        <v>3957</v>
      </c>
      <c r="E914" s="5" t="s">
        <v>5</v>
      </c>
      <c r="F914" s="3" t="s">
        <v>3959</v>
      </c>
      <c r="G914" s="3" t="str">
        <f>"00971306"</f>
        <v>00971306</v>
      </c>
    </row>
    <row r="915" spans="1:7" x14ac:dyDescent="0.25">
      <c r="A915" s="2">
        <v>914</v>
      </c>
      <c r="B915" s="3">
        <v>7158</v>
      </c>
      <c r="C915" s="5" t="s">
        <v>2561</v>
      </c>
      <c r="D915" s="5" t="s">
        <v>52</v>
      </c>
      <c r="E915" s="5" t="s">
        <v>4859</v>
      </c>
      <c r="F915" s="3" t="s">
        <v>2562</v>
      </c>
      <c r="G915" s="3" t="str">
        <f>"00851734"</f>
        <v>00851734</v>
      </c>
    </row>
    <row r="916" spans="1:7" x14ac:dyDescent="0.25">
      <c r="A916" s="2">
        <v>915</v>
      </c>
      <c r="B916" s="3">
        <v>7928</v>
      </c>
      <c r="C916" s="5" t="s">
        <v>838</v>
      </c>
      <c r="D916" s="5" t="s">
        <v>87</v>
      </c>
      <c r="E916" s="5" t="s">
        <v>14</v>
      </c>
      <c r="F916" s="3">
        <v>90712</v>
      </c>
      <c r="G916" s="3" t="str">
        <f>"01017693"</f>
        <v>01017693</v>
      </c>
    </row>
    <row r="917" spans="1:7" x14ac:dyDescent="0.25">
      <c r="A917" s="2">
        <v>916</v>
      </c>
      <c r="B917" s="3">
        <v>3909</v>
      </c>
      <c r="C917" s="5" t="s">
        <v>838</v>
      </c>
      <c r="D917" s="5" t="s">
        <v>52</v>
      </c>
      <c r="E917" s="5" t="s">
        <v>14</v>
      </c>
      <c r="F917" s="3">
        <v>90713</v>
      </c>
      <c r="G917" s="3" t="str">
        <f>"01017664"</f>
        <v>01017664</v>
      </c>
    </row>
    <row r="918" spans="1:7" x14ac:dyDescent="0.25">
      <c r="A918" s="2">
        <v>917</v>
      </c>
      <c r="B918" s="3">
        <v>7456</v>
      </c>
      <c r="C918" s="5" t="s">
        <v>838</v>
      </c>
      <c r="D918" s="5" t="s">
        <v>837</v>
      </c>
      <c r="E918" s="5" t="s">
        <v>52</v>
      </c>
      <c r="F918" s="3">
        <v>900918027</v>
      </c>
      <c r="G918" s="3" t="str">
        <f>"00625816"</f>
        <v>00625816</v>
      </c>
    </row>
    <row r="919" spans="1:7" x14ac:dyDescent="0.25">
      <c r="A919" s="2">
        <v>918</v>
      </c>
      <c r="B919" s="3">
        <v>1103</v>
      </c>
      <c r="C919" s="5" t="s">
        <v>2175</v>
      </c>
      <c r="D919" s="5" t="s">
        <v>32</v>
      </c>
      <c r="E919" s="5" t="s">
        <v>44</v>
      </c>
      <c r="F919" s="3" t="s">
        <v>2176</v>
      </c>
      <c r="G919" s="3" t="str">
        <f>"01016033"</f>
        <v>01016033</v>
      </c>
    </row>
    <row r="920" spans="1:7" x14ac:dyDescent="0.25">
      <c r="A920" s="2">
        <v>919</v>
      </c>
      <c r="B920" s="3">
        <v>1817</v>
      </c>
      <c r="C920" s="5" t="s">
        <v>58</v>
      </c>
      <c r="D920" s="5" t="s">
        <v>57</v>
      </c>
      <c r="E920" s="5" t="s">
        <v>113</v>
      </c>
      <c r="F920" s="3" t="s">
        <v>59</v>
      </c>
      <c r="G920" s="3" t="str">
        <f>"00538018"</f>
        <v>00538018</v>
      </c>
    </row>
    <row r="921" spans="1:7" x14ac:dyDescent="0.25">
      <c r="A921" s="2">
        <v>920</v>
      </c>
      <c r="B921" s="3">
        <v>3718</v>
      </c>
      <c r="C921" s="5" t="s">
        <v>424</v>
      </c>
      <c r="D921" s="5" t="s">
        <v>32</v>
      </c>
      <c r="E921" s="5" t="s">
        <v>604</v>
      </c>
      <c r="F921" s="3" t="s">
        <v>425</v>
      </c>
      <c r="G921" s="3" t="str">
        <f>"00984881"</f>
        <v>00984881</v>
      </c>
    </row>
    <row r="922" spans="1:7" x14ac:dyDescent="0.25">
      <c r="A922" s="2">
        <v>921</v>
      </c>
      <c r="B922" s="3">
        <v>4592</v>
      </c>
      <c r="C922" s="5" t="s">
        <v>4107</v>
      </c>
      <c r="D922" s="5" t="s">
        <v>18</v>
      </c>
      <c r="E922" s="5" t="s">
        <v>52</v>
      </c>
      <c r="F922" s="3" t="s">
        <v>4108</v>
      </c>
      <c r="G922" s="3" t="str">
        <f>"01016467"</f>
        <v>01016467</v>
      </c>
    </row>
    <row r="923" spans="1:7" x14ac:dyDescent="0.25">
      <c r="A923" s="2">
        <v>922</v>
      </c>
      <c r="B923" s="3">
        <v>7470</v>
      </c>
      <c r="C923" s="5" t="s">
        <v>738</v>
      </c>
      <c r="D923" s="5" t="s">
        <v>102</v>
      </c>
      <c r="E923" s="5" t="s">
        <v>87</v>
      </c>
      <c r="F923" s="3">
        <v>15302</v>
      </c>
      <c r="G923" s="3" t="str">
        <f>"00028706"</f>
        <v>00028706</v>
      </c>
    </row>
    <row r="924" spans="1:7" x14ac:dyDescent="0.25">
      <c r="A924" s="2">
        <v>923</v>
      </c>
      <c r="B924" s="3">
        <v>8934</v>
      </c>
      <c r="C924" s="5" t="s">
        <v>3916</v>
      </c>
      <c r="D924" s="5" t="s">
        <v>3915</v>
      </c>
      <c r="E924" s="5" t="s">
        <v>14</v>
      </c>
      <c r="F924" s="3" t="s">
        <v>3917</v>
      </c>
      <c r="G924" s="3" t="str">
        <f>"00875500"</f>
        <v>00875500</v>
      </c>
    </row>
    <row r="925" spans="1:7" x14ac:dyDescent="0.25">
      <c r="A925" s="2">
        <v>924</v>
      </c>
      <c r="B925" s="3">
        <v>1818</v>
      </c>
      <c r="C925" s="5" t="s">
        <v>4759</v>
      </c>
      <c r="D925" s="5" t="s">
        <v>94</v>
      </c>
      <c r="E925" s="5" t="s">
        <v>63</v>
      </c>
      <c r="F925" s="3" t="s">
        <v>4760</v>
      </c>
      <c r="G925" s="3" t="str">
        <f>"00986720"</f>
        <v>00986720</v>
      </c>
    </row>
    <row r="926" spans="1:7" x14ac:dyDescent="0.25">
      <c r="A926" s="2">
        <v>925</v>
      </c>
      <c r="B926" s="3">
        <v>3784</v>
      </c>
      <c r="C926" s="5" t="s">
        <v>270</v>
      </c>
      <c r="D926" s="5" t="s">
        <v>269</v>
      </c>
      <c r="E926" s="5" t="s">
        <v>14</v>
      </c>
      <c r="F926" s="3" t="s">
        <v>271</v>
      </c>
      <c r="G926" s="3" t="str">
        <f>"00813243"</f>
        <v>00813243</v>
      </c>
    </row>
    <row r="927" spans="1:7" x14ac:dyDescent="0.25">
      <c r="A927" s="2">
        <v>926</v>
      </c>
      <c r="B927" s="3">
        <v>4942</v>
      </c>
      <c r="C927" s="5" t="s">
        <v>1374</v>
      </c>
      <c r="D927" s="5" t="s">
        <v>129</v>
      </c>
      <c r="E927" s="5" t="s">
        <v>1432</v>
      </c>
      <c r="F927" s="3" t="s">
        <v>1375</v>
      </c>
      <c r="G927" s="3" t="str">
        <f>"01014437"</f>
        <v>01014437</v>
      </c>
    </row>
    <row r="928" spans="1:7" x14ac:dyDescent="0.25">
      <c r="A928" s="2">
        <v>927</v>
      </c>
      <c r="B928" s="3">
        <v>8089</v>
      </c>
      <c r="C928" s="5" t="s">
        <v>2373</v>
      </c>
      <c r="D928" s="5" t="s">
        <v>2372</v>
      </c>
      <c r="E928" s="5" t="s">
        <v>3042</v>
      </c>
      <c r="F928" s="3" t="s">
        <v>2374</v>
      </c>
      <c r="G928" s="3" t="str">
        <f>"00856834"</f>
        <v>00856834</v>
      </c>
    </row>
    <row r="929" spans="1:7" x14ac:dyDescent="0.25">
      <c r="A929" s="2">
        <v>928</v>
      </c>
      <c r="B929" s="3">
        <v>7974</v>
      </c>
      <c r="C929" s="5" t="s">
        <v>3106</v>
      </c>
      <c r="D929" s="5" t="s">
        <v>3105</v>
      </c>
      <c r="E929" s="5" t="s">
        <v>622</v>
      </c>
      <c r="F929" s="3">
        <v>2013313</v>
      </c>
      <c r="G929" s="3" t="str">
        <f>"01010560"</f>
        <v>01010560</v>
      </c>
    </row>
    <row r="930" spans="1:7" x14ac:dyDescent="0.25">
      <c r="A930" s="2">
        <v>929</v>
      </c>
      <c r="B930" s="3">
        <v>7896</v>
      </c>
      <c r="C930" s="5" t="s">
        <v>246</v>
      </c>
      <c r="D930" s="5" t="s">
        <v>245</v>
      </c>
      <c r="E930" s="5" t="s">
        <v>44</v>
      </c>
      <c r="F930" s="3" t="s">
        <v>247</v>
      </c>
      <c r="G930" s="3" t="str">
        <f>"00399678"</f>
        <v>00399678</v>
      </c>
    </row>
    <row r="931" spans="1:7" x14ac:dyDescent="0.25">
      <c r="A931" s="2">
        <v>930</v>
      </c>
      <c r="B931" s="3">
        <v>10438</v>
      </c>
      <c r="C931" s="5" t="s">
        <v>497</v>
      </c>
      <c r="D931" s="5" t="s">
        <v>162</v>
      </c>
      <c r="E931" s="5" t="s">
        <v>667</v>
      </c>
      <c r="F931" s="3" t="s">
        <v>498</v>
      </c>
      <c r="G931" s="3" t="str">
        <f>"00184290"</f>
        <v>00184290</v>
      </c>
    </row>
    <row r="932" spans="1:7" x14ac:dyDescent="0.25">
      <c r="A932" s="2">
        <v>931</v>
      </c>
      <c r="B932" s="3">
        <v>8285</v>
      </c>
      <c r="C932" s="5" t="s">
        <v>2255</v>
      </c>
      <c r="D932" s="5" t="s">
        <v>1212</v>
      </c>
      <c r="E932" s="5" t="s">
        <v>52</v>
      </c>
      <c r="F932" s="3" t="s">
        <v>2256</v>
      </c>
      <c r="G932" s="3" t="str">
        <f>"00986458"</f>
        <v>00986458</v>
      </c>
    </row>
    <row r="933" spans="1:7" x14ac:dyDescent="0.25">
      <c r="A933" s="2">
        <v>932</v>
      </c>
      <c r="B933" s="3">
        <v>11371</v>
      </c>
      <c r="C933" s="5" t="s">
        <v>2107</v>
      </c>
      <c r="D933" s="5" t="s">
        <v>1199</v>
      </c>
      <c r="E933" s="5" t="s">
        <v>94</v>
      </c>
      <c r="F933" s="3" t="s">
        <v>2108</v>
      </c>
      <c r="G933" s="3" t="str">
        <f>"00632441"</f>
        <v>00632441</v>
      </c>
    </row>
    <row r="934" spans="1:7" x14ac:dyDescent="0.25">
      <c r="A934" s="2">
        <v>933</v>
      </c>
      <c r="B934" s="3">
        <v>7415</v>
      </c>
      <c r="C934" s="5" t="s">
        <v>2301</v>
      </c>
      <c r="D934" s="5" t="s">
        <v>2103</v>
      </c>
      <c r="E934" s="5" t="s">
        <v>87</v>
      </c>
      <c r="F934" s="3">
        <v>33169</v>
      </c>
      <c r="G934" s="3" t="str">
        <f>"01017064"</f>
        <v>01017064</v>
      </c>
    </row>
    <row r="935" spans="1:7" x14ac:dyDescent="0.25">
      <c r="A935" s="2">
        <v>934</v>
      </c>
      <c r="B935" s="3">
        <v>6438</v>
      </c>
      <c r="C935" s="5" t="s">
        <v>3064</v>
      </c>
      <c r="D935" s="5" t="s">
        <v>3063</v>
      </c>
      <c r="E935" s="5" t="s">
        <v>376</v>
      </c>
      <c r="F935" s="3" t="s">
        <v>3065</v>
      </c>
      <c r="G935" s="3" t="str">
        <f>"00556817"</f>
        <v>00556817</v>
      </c>
    </row>
    <row r="936" spans="1:7" x14ac:dyDescent="0.25">
      <c r="A936" s="2">
        <v>935</v>
      </c>
      <c r="B936" s="3">
        <v>2498</v>
      </c>
      <c r="C936" s="5" t="s">
        <v>1503</v>
      </c>
      <c r="D936" s="5" t="s">
        <v>91</v>
      </c>
      <c r="E936" s="5" t="s">
        <v>284</v>
      </c>
      <c r="F936" s="3" t="s">
        <v>1504</v>
      </c>
      <c r="G936" s="3" t="str">
        <f>"00444605"</f>
        <v>00444605</v>
      </c>
    </row>
    <row r="937" spans="1:7" x14ac:dyDescent="0.25">
      <c r="A937" s="2">
        <v>936</v>
      </c>
      <c r="B937" s="3">
        <v>3071</v>
      </c>
      <c r="C937" s="5" t="s">
        <v>3875</v>
      </c>
      <c r="D937" s="5" t="s">
        <v>3874</v>
      </c>
      <c r="E937" s="5" t="s">
        <v>1618</v>
      </c>
      <c r="F937" s="3" t="s">
        <v>3876</v>
      </c>
      <c r="G937" s="3" t="str">
        <f>"00931477"</f>
        <v>00931477</v>
      </c>
    </row>
    <row r="938" spans="1:7" x14ac:dyDescent="0.25">
      <c r="A938" s="2">
        <v>937</v>
      </c>
      <c r="B938" s="3">
        <v>12080</v>
      </c>
      <c r="C938" s="5" t="s">
        <v>4255</v>
      </c>
      <c r="D938" s="5" t="s">
        <v>87</v>
      </c>
      <c r="E938" s="5" t="s">
        <v>545</v>
      </c>
      <c r="F938" s="3" t="s">
        <v>4256</v>
      </c>
      <c r="G938" s="3" t="str">
        <f>"00984487"</f>
        <v>00984487</v>
      </c>
    </row>
    <row r="939" spans="1:7" x14ac:dyDescent="0.25">
      <c r="A939" s="2">
        <v>938</v>
      </c>
      <c r="B939" s="3">
        <v>4716</v>
      </c>
      <c r="C939" s="5" t="s">
        <v>2036</v>
      </c>
      <c r="D939" s="5" t="s">
        <v>11</v>
      </c>
      <c r="E939" s="5" t="s">
        <v>87</v>
      </c>
      <c r="F939" s="3" t="s">
        <v>2037</v>
      </c>
      <c r="G939" s="3" t="str">
        <f>"01003829"</f>
        <v>01003829</v>
      </c>
    </row>
    <row r="940" spans="1:7" x14ac:dyDescent="0.25">
      <c r="A940" s="2">
        <v>939</v>
      </c>
      <c r="B940" s="3">
        <v>3605</v>
      </c>
      <c r="C940" s="5" t="s">
        <v>2829</v>
      </c>
      <c r="D940" s="5" t="s">
        <v>2828</v>
      </c>
      <c r="E940" s="5" t="s">
        <v>32</v>
      </c>
      <c r="F940" s="3" t="s">
        <v>2830</v>
      </c>
      <c r="G940" s="3" t="str">
        <f>"00811731"</f>
        <v>00811731</v>
      </c>
    </row>
    <row r="941" spans="1:7" x14ac:dyDescent="0.25">
      <c r="A941" s="2">
        <v>940</v>
      </c>
      <c r="B941" s="3">
        <v>4135</v>
      </c>
      <c r="C941" s="5" t="s">
        <v>3367</v>
      </c>
      <c r="D941" s="5" t="s">
        <v>24</v>
      </c>
      <c r="E941" s="5" t="s">
        <v>5</v>
      </c>
      <c r="F941" s="3" t="s">
        <v>3368</v>
      </c>
      <c r="G941" s="3" t="str">
        <f>"00492607"</f>
        <v>00492607</v>
      </c>
    </row>
    <row r="942" spans="1:7" x14ac:dyDescent="0.25">
      <c r="A942" s="2">
        <v>941</v>
      </c>
      <c r="B942" s="3">
        <v>5432</v>
      </c>
      <c r="C942" s="5" t="s">
        <v>3283</v>
      </c>
      <c r="D942" s="5" t="s">
        <v>41</v>
      </c>
      <c r="E942" s="5" t="s">
        <v>14</v>
      </c>
      <c r="F942" s="3" t="s">
        <v>3284</v>
      </c>
      <c r="G942" s="3" t="str">
        <f>"00980536"</f>
        <v>00980536</v>
      </c>
    </row>
    <row r="943" spans="1:7" x14ac:dyDescent="0.25">
      <c r="A943" s="2">
        <v>942</v>
      </c>
      <c r="B943" s="3">
        <v>9311</v>
      </c>
      <c r="C943" s="5" t="s">
        <v>2863</v>
      </c>
      <c r="D943" s="5" t="s">
        <v>198</v>
      </c>
      <c r="E943" s="5" t="s">
        <v>87</v>
      </c>
      <c r="F943" s="3" t="s">
        <v>2864</v>
      </c>
      <c r="G943" s="3" t="str">
        <f>"01010916"</f>
        <v>01010916</v>
      </c>
    </row>
    <row r="944" spans="1:7" x14ac:dyDescent="0.25">
      <c r="A944" s="2">
        <v>943</v>
      </c>
      <c r="B944" s="3">
        <v>6496</v>
      </c>
      <c r="C944" s="5" t="s">
        <v>2194</v>
      </c>
      <c r="D944" s="5" t="s">
        <v>588</v>
      </c>
      <c r="E944" s="5" t="s">
        <v>667</v>
      </c>
      <c r="F944" s="3" t="s">
        <v>2195</v>
      </c>
      <c r="G944" s="3" t="str">
        <f>"00769627"</f>
        <v>00769627</v>
      </c>
    </row>
    <row r="945" spans="1:7" x14ac:dyDescent="0.25">
      <c r="A945" s="2">
        <v>944</v>
      </c>
      <c r="B945" s="3">
        <v>292</v>
      </c>
      <c r="C945" s="5" t="s">
        <v>2649</v>
      </c>
      <c r="D945" s="5" t="s">
        <v>2648</v>
      </c>
      <c r="E945" s="5" t="s">
        <v>5</v>
      </c>
      <c r="F945" s="3">
        <v>2723593</v>
      </c>
      <c r="G945" s="3" t="str">
        <f>"00212669"</f>
        <v>00212669</v>
      </c>
    </row>
    <row r="946" spans="1:7" x14ac:dyDescent="0.25">
      <c r="A946" s="2">
        <v>945</v>
      </c>
      <c r="B946" s="3">
        <v>11249</v>
      </c>
      <c r="C946" s="5" t="s">
        <v>343</v>
      </c>
      <c r="D946" s="5" t="s">
        <v>207</v>
      </c>
      <c r="E946" s="5" t="s">
        <v>70</v>
      </c>
      <c r="F946" s="3" t="s">
        <v>344</v>
      </c>
      <c r="G946" s="3" t="str">
        <f>"00986995"</f>
        <v>00986995</v>
      </c>
    </row>
    <row r="947" spans="1:7" x14ac:dyDescent="0.25">
      <c r="A947" s="2">
        <v>946</v>
      </c>
      <c r="B947" s="3">
        <v>9238</v>
      </c>
      <c r="C947" s="5" t="s">
        <v>2567</v>
      </c>
      <c r="D947" s="5" t="s">
        <v>14</v>
      </c>
      <c r="E947" s="5" t="s">
        <v>32</v>
      </c>
      <c r="F947" s="3" t="s">
        <v>2568</v>
      </c>
      <c r="G947" s="3" t="str">
        <f>"00893375"</f>
        <v>00893375</v>
      </c>
    </row>
    <row r="948" spans="1:7" x14ac:dyDescent="0.25">
      <c r="A948" s="2">
        <v>947</v>
      </c>
      <c r="B948" s="3">
        <v>10319</v>
      </c>
      <c r="C948" s="5" t="s">
        <v>4221</v>
      </c>
      <c r="D948" s="5" t="s">
        <v>4220</v>
      </c>
      <c r="E948" s="5" t="s">
        <v>52</v>
      </c>
      <c r="F948" s="3" t="s">
        <v>4222</v>
      </c>
      <c r="G948" s="3" t="str">
        <f>"00832798"</f>
        <v>00832798</v>
      </c>
    </row>
    <row r="949" spans="1:7" x14ac:dyDescent="0.25">
      <c r="A949" s="2">
        <v>948</v>
      </c>
      <c r="B949" s="3">
        <v>11478</v>
      </c>
      <c r="C949" s="5" t="s">
        <v>438</v>
      </c>
      <c r="D949" s="5" t="s">
        <v>44</v>
      </c>
      <c r="E949" s="5" t="s">
        <v>102</v>
      </c>
      <c r="F949" s="3" t="s">
        <v>439</v>
      </c>
      <c r="G949" s="3" t="str">
        <f>"00161595"</f>
        <v>00161595</v>
      </c>
    </row>
    <row r="950" spans="1:7" x14ac:dyDescent="0.25">
      <c r="A950" s="2">
        <v>949</v>
      </c>
      <c r="B950" s="3">
        <v>11751</v>
      </c>
      <c r="C950" s="5" t="s">
        <v>3968</v>
      </c>
      <c r="D950" s="5" t="s">
        <v>11</v>
      </c>
      <c r="E950" s="5" t="s">
        <v>5</v>
      </c>
      <c r="F950" s="3" t="s">
        <v>3969</v>
      </c>
      <c r="G950" s="3" t="str">
        <f>"00149618"</f>
        <v>00149618</v>
      </c>
    </row>
    <row r="951" spans="1:7" x14ac:dyDescent="0.25">
      <c r="A951" s="2">
        <v>950</v>
      </c>
      <c r="B951" s="3">
        <v>1719</v>
      </c>
      <c r="C951" s="5" t="s">
        <v>2359</v>
      </c>
      <c r="D951" s="5" t="s">
        <v>135</v>
      </c>
      <c r="E951" s="5" t="s">
        <v>5</v>
      </c>
      <c r="F951" s="3" t="s">
        <v>2360</v>
      </c>
      <c r="G951" s="3" t="str">
        <f>"00983163"</f>
        <v>00983163</v>
      </c>
    </row>
    <row r="952" spans="1:7" x14ac:dyDescent="0.25">
      <c r="A952" s="2">
        <v>951</v>
      </c>
      <c r="B952" s="3">
        <v>10789</v>
      </c>
      <c r="C952" s="5" t="s">
        <v>4294</v>
      </c>
      <c r="D952" s="5" t="s">
        <v>3828</v>
      </c>
      <c r="E952" s="5" t="s">
        <v>52</v>
      </c>
      <c r="F952" s="3" t="s">
        <v>4295</v>
      </c>
      <c r="G952" s="3" t="str">
        <f>"00716520"</f>
        <v>00716520</v>
      </c>
    </row>
    <row r="953" spans="1:7" x14ac:dyDescent="0.25">
      <c r="A953" s="2">
        <v>952</v>
      </c>
      <c r="B953" s="3">
        <v>8048</v>
      </c>
      <c r="C953" s="5" t="s">
        <v>3898</v>
      </c>
      <c r="D953" s="5" t="s">
        <v>135</v>
      </c>
      <c r="E953" s="5" t="s">
        <v>5</v>
      </c>
      <c r="F953" s="3" t="s">
        <v>3899</v>
      </c>
      <c r="G953" s="3" t="str">
        <f>"00983851"</f>
        <v>00983851</v>
      </c>
    </row>
    <row r="954" spans="1:7" x14ac:dyDescent="0.25">
      <c r="A954" s="2">
        <v>953</v>
      </c>
      <c r="B954" s="3">
        <v>827</v>
      </c>
      <c r="C954" s="5" t="s">
        <v>638</v>
      </c>
      <c r="D954" s="5" t="s">
        <v>18</v>
      </c>
      <c r="E954" s="5" t="s">
        <v>14</v>
      </c>
      <c r="F954" s="3" t="s">
        <v>639</v>
      </c>
      <c r="G954" s="3" t="str">
        <f>"00155355"</f>
        <v>00155355</v>
      </c>
    </row>
    <row r="955" spans="1:7" x14ac:dyDescent="0.25">
      <c r="A955" s="2">
        <v>954</v>
      </c>
      <c r="B955" s="3">
        <v>3715</v>
      </c>
      <c r="C955" s="5" t="s">
        <v>1993</v>
      </c>
      <c r="D955" s="5" t="s">
        <v>126</v>
      </c>
      <c r="E955" s="5" t="s">
        <v>4841</v>
      </c>
      <c r="F955" s="3" t="s">
        <v>1994</v>
      </c>
      <c r="G955" s="3" t="str">
        <f>"00592087"</f>
        <v>00592087</v>
      </c>
    </row>
    <row r="956" spans="1:7" x14ac:dyDescent="0.25">
      <c r="A956" s="2">
        <v>955</v>
      </c>
      <c r="B956" s="3">
        <v>7902</v>
      </c>
      <c r="C956" s="5" t="s">
        <v>1949</v>
      </c>
      <c r="D956" s="5" t="s">
        <v>129</v>
      </c>
      <c r="E956" s="5" t="s">
        <v>94</v>
      </c>
      <c r="F956" s="3">
        <v>2013326</v>
      </c>
      <c r="G956" s="3" t="str">
        <f>"01017089"</f>
        <v>01017089</v>
      </c>
    </row>
    <row r="957" spans="1:7" x14ac:dyDescent="0.25">
      <c r="A957" s="2">
        <v>956</v>
      </c>
      <c r="B957" s="3">
        <v>7959</v>
      </c>
      <c r="C957" s="5" t="s">
        <v>2393</v>
      </c>
      <c r="D957" s="5" t="s">
        <v>126</v>
      </c>
      <c r="E957" s="5" t="s">
        <v>52</v>
      </c>
      <c r="F957" s="3" t="s">
        <v>2394</v>
      </c>
      <c r="G957" s="3" t="str">
        <f>"01009991"</f>
        <v>01009991</v>
      </c>
    </row>
    <row r="958" spans="1:7" x14ac:dyDescent="0.25">
      <c r="A958" s="2">
        <v>957</v>
      </c>
      <c r="B958" s="3">
        <v>3481</v>
      </c>
      <c r="C958" s="5" t="s">
        <v>1370</v>
      </c>
      <c r="D958" s="5" t="s">
        <v>366</v>
      </c>
      <c r="E958" s="5" t="s">
        <v>11</v>
      </c>
      <c r="F958" s="3" t="s">
        <v>1371</v>
      </c>
      <c r="G958" s="3" t="str">
        <f>"00550823"</f>
        <v>00550823</v>
      </c>
    </row>
    <row r="959" spans="1:7" x14ac:dyDescent="0.25">
      <c r="A959" s="2">
        <v>958</v>
      </c>
      <c r="B959" s="3">
        <v>8780</v>
      </c>
      <c r="C959" s="5" t="s">
        <v>4035</v>
      </c>
      <c r="D959" s="5" t="s">
        <v>11</v>
      </c>
      <c r="E959" s="5" t="s">
        <v>167</v>
      </c>
      <c r="F959" s="3" t="s">
        <v>4036</v>
      </c>
      <c r="G959" s="3" t="str">
        <f>"00214802"</f>
        <v>00214802</v>
      </c>
    </row>
    <row r="960" spans="1:7" x14ac:dyDescent="0.25">
      <c r="A960" s="2">
        <v>959</v>
      </c>
      <c r="B960" s="3">
        <v>5126</v>
      </c>
      <c r="C960" s="5" t="s">
        <v>396</v>
      </c>
      <c r="D960" s="5" t="s">
        <v>41</v>
      </c>
      <c r="E960" s="5" t="s">
        <v>4791</v>
      </c>
      <c r="F960" s="3" t="s">
        <v>397</v>
      </c>
      <c r="G960" s="3" t="str">
        <f>"00092584"</f>
        <v>00092584</v>
      </c>
    </row>
    <row r="961" spans="1:7" x14ac:dyDescent="0.25">
      <c r="A961" s="2">
        <v>960</v>
      </c>
      <c r="B961" s="3">
        <v>9932</v>
      </c>
      <c r="C961" s="5" t="s">
        <v>559</v>
      </c>
      <c r="D961" s="5" t="s">
        <v>558</v>
      </c>
      <c r="E961" s="5" t="s">
        <v>44</v>
      </c>
      <c r="F961" s="3" t="s">
        <v>560</v>
      </c>
      <c r="G961" s="3" t="str">
        <f>"00983924"</f>
        <v>00983924</v>
      </c>
    </row>
    <row r="962" spans="1:7" x14ac:dyDescent="0.25">
      <c r="A962" s="2">
        <v>961</v>
      </c>
      <c r="B962" s="3">
        <v>10310</v>
      </c>
      <c r="C962" s="5" t="s">
        <v>2320</v>
      </c>
      <c r="D962" s="5" t="s">
        <v>87</v>
      </c>
      <c r="E962" s="5" t="s">
        <v>135</v>
      </c>
      <c r="F962" s="3" t="s">
        <v>2321</v>
      </c>
      <c r="G962" s="3" t="str">
        <f>"00359164"</f>
        <v>00359164</v>
      </c>
    </row>
    <row r="963" spans="1:7" x14ac:dyDescent="0.25">
      <c r="A963" s="2">
        <v>962</v>
      </c>
      <c r="B963" s="3">
        <v>8474</v>
      </c>
      <c r="C963" s="5" t="s">
        <v>761</v>
      </c>
      <c r="D963" s="5" t="s">
        <v>760</v>
      </c>
      <c r="E963" s="5" t="s">
        <v>129</v>
      </c>
      <c r="F963" s="3" t="s">
        <v>762</v>
      </c>
      <c r="G963" s="3" t="str">
        <f>"00766900"</f>
        <v>00766900</v>
      </c>
    </row>
    <row r="964" spans="1:7" x14ac:dyDescent="0.25">
      <c r="A964" s="2">
        <v>963</v>
      </c>
      <c r="B964" s="3">
        <v>10297</v>
      </c>
      <c r="C964" s="5" t="s">
        <v>4777</v>
      </c>
      <c r="D964" s="5" t="s">
        <v>4776</v>
      </c>
      <c r="E964" s="5" t="s">
        <v>14</v>
      </c>
      <c r="F964" s="3" t="s">
        <v>4778</v>
      </c>
      <c r="G964" s="3" t="str">
        <f>"00991535"</f>
        <v>00991535</v>
      </c>
    </row>
    <row r="965" spans="1:7" x14ac:dyDescent="0.25">
      <c r="A965" s="2">
        <v>964</v>
      </c>
      <c r="B965" s="3">
        <v>8320</v>
      </c>
      <c r="C965" s="5" t="s">
        <v>2375</v>
      </c>
      <c r="D965" s="5" t="s">
        <v>32</v>
      </c>
      <c r="E965" s="5" t="s">
        <v>14</v>
      </c>
      <c r="F965" s="3" t="s">
        <v>2376</v>
      </c>
      <c r="G965" s="3" t="str">
        <f>"201507003069"</f>
        <v>201507003069</v>
      </c>
    </row>
    <row r="966" spans="1:7" x14ac:dyDescent="0.25">
      <c r="A966" s="2">
        <v>965</v>
      </c>
      <c r="B966" s="3">
        <v>588</v>
      </c>
      <c r="C966" s="5" t="s">
        <v>2383</v>
      </c>
      <c r="D966" s="5" t="s">
        <v>63</v>
      </c>
      <c r="E966" s="5" t="s">
        <v>52</v>
      </c>
      <c r="F966" s="3" t="s">
        <v>2384</v>
      </c>
      <c r="G966" s="3" t="str">
        <f>"00803922"</f>
        <v>00803922</v>
      </c>
    </row>
    <row r="967" spans="1:7" x14ac:dyDescent="0.25">
      <c r="A967" s="2">
        <v>966</v>
      </c>
      <c r="B967" s="3">
        <v>2622</v>
      </c>
      <c r="C967" s="5" t="s">
        <v>1991</v>
      </c>
      <c r="D967" s="5" t="s">
        <v>773</v>
      </c>
      <c r="E967" s="5" t="s">
        <v>87</v>
      </c>
      <c r="F967" s="3" t="s">
        <v>1992</v>
      </c>
      <c r="G967" s="3" t="str">
        <f>"00986116"</f>
        <v>00986116</v>
      </c>
    </row>
    <row r="968" spans="1:7" x14ac:dyDescent="0.25">
      <c r="A968" s="2">
        <v>967</v>
      </c>
      <c r="B968" s="3">
        <v>6184</v>
      </c>
      <c r="C968" s="5" t="s">
        <v>4522</v>
      </c>
      <c r="D968" s="5" t="s">
        <v>214</v>
      </c>
      <c r="E968" s="5" t="s">
        <v>1139</v>
      </c>
      <c r="F968" s="3" t="s">
        <v>4523</v>
      </c>
      <c r="G968" s="3" t="str">
        <f>"00983393"</f>
        <v>00983393</v>
      </c>
    </row>
    <row r="969" spans="1:7" x14ac:dyDescent="0.25">
      <c r="A969" s="2">
        <v>968</v>
      </c>
      <c r="B969" s="3">
        <v>5490</v>
      </c>
      <c r="C969" s="5" t="s">
        <v>540</v>
      </c>
      <c r="D969" s="5" t="s">
        <v>539</v>
      </c>
      <c r="E969" s="5" t="s">
        <v>129</v>
      </c>
      <c r="F969" s="3" t="s">
        <v>541</v>
      </c>
      <c r="G969" s="3" t="str">
        <f>"00547832"</f>
        <v>00547832</v>
      </c>
    </row>
    <row r="970" spans="1:7" x14ac:dyDescent="0.25">
      <c r="A970" s="2">
        <v>969</v>
      </c>
      <c r="B970" s="3">
        <v>5442</v>
      </c>
      <c r="C970" s="5" t="s">
        <v>1417</v>
      </c>
      <c r="D970" s="5" t="s">
        <v>11</v>
      </c>
      <c r="E970" s="5" t="s">
        <v>129</v>
      </c>
      <c r="F970" s="3" t="s">
        <v>1418</v>
      </c>
      <c r="G970" s="3" t="str">
        <f>"01014927"</f>
        <v>01014927</v>
      </c>
    </row>
    <row r="971" spans="1:7" x14ac:dyDescent="0.25">
      <c r="A971" s="2">
        <v>970</v>
      </c>
      <c r="B971" s="3">
        <v>4608</v>
      </c>
      <c r="C971" s="5" t="s">
        <v>1741</v>
      </c>
      <c r="D971" s="5" t="s">
        <v>490</v>
      </c>
      <c r="E971" s="5" t="s">
        <v>2204</v>
      </c>
      <c r="F971" s="3" t="s">
        <v>1742</v>
      </c>
      <c r="G971" s="3" t="str">
        <f>"00664825"</f>
        <v>00664825</v>
      </c>
    </row>
    <row r="972" spans="1:7" x14ac:dyDescent="0.25">
      <c r="A972" s="2">
        <v>971</v>
      </c>
      <c r="B972" s="3">
        <v>1482</v>
      </c>
      <c r="C972" s="5" t="s">
        <v>4757</v>
      </c>
      <c r="D972" s="5" t="s">
        <v>2659</v>
      </c>
      <c r="E972" s="5" t="s">
        <v>635</v>
      </c>
      <c r="F972" s="3" t="s">
        <v>4758</v>
      </c>
      <c r="G972" s="3" t="str">
        <f>"00985243"</f>
        <v>00985243</v>
      </c>
    </row>
    <row r="973" spans="1:7" x14ac:dyDescent="0.25">
      <c r="A973" s="2">
        <v>972</v>
      </c>
      <c r="B973" s="3">
        <v>6420</v>
      </c>
      <c r="C973" s="5" t="s">
        <v>2957</v>
      </c>
      <c r="D973" s="5" t="s">
        <v>1292</v>
      </c>
      <c r="E973" s="5" t="s">
        <v>87</v>
      </c>
      <c r="F973" s="3" t="s">
        <v>2958</v>
      </c>
      <c r="G973" s="3" t="str">
        <f>"01014866"</f>
        <v>01014866</v>
      </c>
    </row>
    <row r="974" spans="1:7" x14ac:dyDescent="0.25">
      <c r="A974" s="2">
        <v>973</v>
      </c>
      <c r="B974" s="3">
        <v>924</v>
      </c>
      <c r="C974" s="5" t="s">
        <v>2957</v>
      </c>
      <c r="D974" s="5" t="s">
        <v>4595</v>
      </c>
      <c r="E974" s="5" t="s">
        <v>87</v>
      </c>
      <c r="F974" s="3" t="s">
        <v>4596</v>
      </c>
      <c r="G974" s="3" t="str">
        <f>"00976605"</f>
        <v>00976605</v>
      </c>
    </row>
    <row r="975" spans="1:7" x14ac:dyDescent="0.25">
      <c r="A975" s="2">
        <v>974</v>
      </c>
      <c r="B975" s="3">
        <v>10011</v>
      </c>
      <c r="C975" s="5" t="s">
        <v>2787</v>
      </c>
      <c r="D975" s="5" t="s">
        <v>2786</v>
      </c>
      <c r="E975" s="5" t="s">
        <v>14</v>
      </c>
      <c r="F975" s="3" t="s">
        <v>2788</v>
      </c>
      <c r="G975" s="3" t="str">
        <f>"00981428"</f>
        <v>00981428</v>
      </c>
    </row>
    <row r="976" spans="1:7" x14ac:dyDescent="0.25">
      <c r="A976" s="2">
        <v>975</v>
      </c>
      <c r="B976" s="3">
        <v>5919</v>
      </c>
      <c r="C976" s="5" t="s">
        <v>3227</v>
      </c>
      <c r="D976" s="5" t="s">
        <v>3226</v>
      </c>
      <c r="E976" s="5" t="s">
        <v>545</v>
      </c>
      <c r="F976" s="3" t="s">
        <v>3228</v>
      </c>
      <c r="G976" s="3" t="str">
        <f>"01001968"</f>
        <v>01001968</v>
      </c>
    </row>
    <row r="977" spans="1:7" x14ac:dyDescent="0.25">
      <c r="A977" s="2">
        <v>976</v>
      </c>
      <c r="B977" s="3">
        <v>12277</v>
      </c>
      <c r="C977" s="5" t="s">
        <v>1247</v>
      </c>
      <c r="D977" s="5" t="s">
        <v>18</v>
      </c>
      <c r="E977" s="5" t="s">
        <v>87</v>
      </c>
      <c r="F977" s="3" t="s">
        <v>1248</v>
      </c>
      <c r="G977" s="3" t="str">
        <f>"01012073"</f>
        <v>01012073</v>
      </c>
    </row>
    <row r="978" spans="1:7" x14ac:dyDescent="0.25">
      <c r="A978" s="2">
        <v>977</v>
      </c>
      <c r="B978" s="3">
        <v>10380</v>
      </c>
      <c r="C978" s="5" t="s">
        <v>2142</v>
      </c>
      <c r="D978" s="5" t="s">
        <v>490</v>
      </c>
      <c r="E978" s="5" t="s">
        <v>5</v>
      </c>
      <c r="F978" s="3" t="s">
        <v>2143</v>
      </c>
      <c r="G978" s="3" t="str">
        <f>"00766203"</f>
        <v>00766203</v>
      </c>
    </row>
    <row r="979" spans="1:7" x14ac:dyDescent="0.25">
      <c r="A979" s="2">
        <v>978</v>
      </c>
      <c r="B979" s="3">
        <v>12308</v>
      </c>
      <c r="C979" s="5" t="s">
        <v>1974</v>
      </c>
      <c r="D979" s="5" t="s">
        <v>1973</v>
      </c>
      <c r="E979" s="5" t="s">
        <v>129</v>
      </c>
      <c r="F979" s="3" t="s">
        <v>1975</v>
      </c>
      <c r="G979" s="3" t="str">
        <f>"00443779"</f>
        <v>00443779</v>
      </c>
    </row>
    <row r="980" spans="1:7" x14ac:dyDescent="0.25">
      <c r="A980" s="2">
        <v>979</v>
      </c>
      <c r="B980" s="3">
        <v>10937</v>
      </c>
      <c r="C980" s="5" t="s">
        <v>2731</v>
      </c>
      <c r="D980" s="5" t="s">
        <v>2730</v>
      </c>
      <c r="E980" s="5" t="s">
        <v>44</v>
      </c>
      <c r="F980" s="3" t="s">
        <v>2732</v>
      </c>
      <c r="G980" s="3" t="str">
        <f>"00994444"</f>
        <v>00994444</v>
      </c>
    </row>
    <row r="981" spans="1:7" x14ac:dyDescent="0.25">
      <c r="A981" s="2">
        <v>980</v>
      </c>
      <c r="B981" s="3">
        <v>3805</v>
      </c>
      <c r="C981" s="5" t="s">
        <v>880</v>
      </c>
      <c r="D981" s="5" t="s">
        <v>284</v>
      </c>
      <c r="E981" s="5" t="s">
        <v>635</v>
      </c>
      <c r="F981" s="3">
        <v>88930</v>
      </c>
      <c r="G981" s="3" t="str">
        <f>"201511006517"</f>
        <v>201511006517</v>
      </c>
    </row>
    <row r="982" spans="1:7" x14ac:dyDescent="0.25">
      <c r="A982" s="2">
        <v>981</v>
      </c>
      <c r="B982" s="3">
        <v>9139</v>
      </c>
      <c r="C982" s="5" t="s">
        <v>880</v>
      </c>
      <c r="D982" s="5" t="s">
        <v>5</v>
      </c>
      <c r="E982" s="5" t="s">
        <v>52</v>
      </c>
      <c r="F982" s="3" t="s">
        <v>2259</v>
      </c>
      <c r="G982" s="3" t="str">
        <f>"00932199"</f>
        <v>00932199</v>
      </c>
    </row>
    <row r="983" spans="1:7" x14ac:dyDescent="0.25">
      <c r="A983" s="2">
        <v>982</v>
      </c>
      <c r="B983" s="3">
        <v>9196</v>
      </c>
      <c r="C983" s="5" t="s">
        <v>1161</v>
      </c>
      <c r="D983" s="5" t="s">
        <v>207</v>
      </c>
      <c r="E983" s="5" t="s">
        <v>129</v>
      </c>
      <c r="F983" s="3" t="s">
        <v>1162</v>
      </c>
      <c r="G983" s="3" t="str">
        <f>"00974999"</f>
        <v>00974999</v>
      </c>
    </row>
    <row r="984" spans="1:7" x14ac:dyDescent="0.25">
      <c r="A984" s="2">
        <v>983</v>
      </c>
      <c r="B984" s="3">
        <v>11517</v>
      </c>
      <c r="C984" s="5" t="s">
        <v>3257</v>
      </c>
      <c r="D984" s="5" t="s">
        <v>3256</v>
      </c>
      <c r="E984" s="5" t="s">
        <v>14</v>
      </c>
      <c r="F984" s="3" t="s">
        <v>3258</v>
      </c>
      <c r="G984" s="3" t="str">
        <f>"201406016668"</f>
        <v>201406016668</v>
      </c>
    </row>
    <row r="985" spans="1:7" x14ac:dyDescent="0.25">
      <c r="A985" s="2">
        <v>984</v>
      </c>
      <c r="B985" s="3">
        <v>1483</v>
      </c>
      <c r="C985" s="5" t="s">
        <v>138</v>
      </c>
      <c r="D985" s="5" t="s">
        <v>87</v>
      </c>
      <c r="E985" s="5" t="s">
        <v>11</v>
      </c>
      <c r="F985" s="3" t="s">
        <v>139</v>
      </c>
      <c r="G985" s="3" t="str">
        <f>"00987108"</f>
        <v>00987108</v>
      </c>
    </row>
    <row r="986" spans="1:7" x14ac:dyDescent="0.25">
      <c r="A986" s="2">
        <v>985</v>
      </c>
      <c r="B986" s="3">
        <v>9764</v>
      </c>
      <c r="C986" s="5" t="s">
        <v>138</v>
      </c>
      <c r="D986" s="5" t="s">
        <v>1318</v>
      </c>
      <c r="E986" s="5" t="s">
        <v>52</v>
      </c>
      <c r="F986" s="3" t="s">
        <v>4717</v>
      </c>
      <c r="G986" s="3" t="str">
        <f>"00657754"</f>
        <v>00657754</v>
      </c>
    </row>
    <row r="987" spans="1:7" x14ac:dyDescent="0.25">
      <c r="A987" s="2">
        <v>986</v>
      </c>
      <c r="B987" s="3">
        <v>6606</v>
      </c>
      <c r="C987" s="5" t="s">
        <v>3832</v>
      </c>
      <c r="D987" s="5" t="s">
        <v>1199</v>
      </c>
      <c r="E987" s="5" t="s">
        <v>284</v>
      </c>
      <c r="F987" s="3" t="s">
        <v>3833</v>
      </c>
      <c r="G987" s="3" t="str">
        <f>"01010674"</f>
        <v>01010674</v>
      </c>
    </row>
    <row r="988" spans="1:7" x14ac:dyDescent="0.25">
      <c r="A988" s="2">
        <v>987</v>
      </c>
      <c r="B988" s="3">
        <v>9118</v>
      </c>
      <c r="C988" s="5" t="s">
        <v>4772</v>
      </c>
      <c r="D988" s="5" t="s">
        <v>1199</v>
      </c>
      <c r="E988" s="5" t="s">
        <v>4838</v>
      </c>
      <c r="F988" s="3" t="s">
        <v>4773</v>
      </c>
      <c r="G988" s="3" t="str">
        <f>"00925456"</f>
        <v>00925456</v>
      </c>
    </row>
    <row r="989" spans="1:7" x14ac:dyDescent="0.25">
      <c r="A989" s="2">
        <v>988</v>
      </c>
      <c r="B989" s="3">
        <v>5983</v>
      </c>
      <c r="C989" s="5" t="s">
        <v>1220</v>
      </c>
      <c r="D989" s="5" t="s">
        <v>14</v>
      </c>
      <c r="E989" s="5" t="s">
        <v>44</v>
      </c>
      <c r="F989" s="3" t="s">
        <v>1221</v>
      </c>
      <c r="G989" s="3" t="str">
        <f>"00982934"</f>
        <v>00982934</v>
      </c>
    </row>
    <row r="990" spans="1:7" x14ac:dyDescent="0.25">
      <c r="A990" s="2">
        <v>989</v>
      </c>
      <c r="B990" s="3">
        <v>12235</v>
      </c>
      <c r="C990" s="5" t="s">
        <v>2528</v>
      </c>
      <c r="D990" s="5" t="s">
        <v>503</v>
      </c>
      <c r="E990" s="5" t="s">
        <v>2204</v>
      </c>
      <c r="F990" s="3" t="s">
        <v>2529</v>
      </c>
      <c r="G990" s="3" t="str">
        <f>"01016901"</f>
        <v>01016901</v>
      </c>
    </row>
    <row r="991" spans="1:7" x14ac:dyDescent="0.25">
      <c r="A991" s="2">
        <v>990</v>
      </c>
      <c r="B991" s="3">
        <v>2275</v>
      </c>
      <c r="C991" s="5" t="s">
        <v>915</v>
      </c>
      <c r="D991" s="5" t="s">
        <v>52</v>
      </c>
      <c r="E991" s="5" t="s">
        <v>5</v>
      </c>
      <c r="F991" s="3" t="s">
        <v>916</v>
      </c>
      <c r="G991" s="3" t="str">
        <f>"00273913"</f>
        <v>00273913</v>
      </c>
    </row>
    <row r="992" spans="1:7" x14ac:dyDescent="0.25">
      <c r="A992" s="2">
        <v>991</v>
      </c>
      <c r="B992" s="3">
        <v>4352</v>
      </c>
      <c r="C992" s="5" t="s">
        <v>2088</v>
      </c>
      <c r="D992" s="5" t="s">
        <v>94</v>
      </c>
      <c r="E992" s="5" t="s">
        <v>87</v>
      </c>
      <c r="F992" s="3" t="s">
        <v>2089</v>
      </c>
      <c r="G992" s="3" t="str">
        <f>"01016054"</f>
        <v>01016054</v>
      </c>
    </row>
    <row r="993" spans="1:7" x14ac:dyDescent="0.25">
      <c r="A993" s="2">
        <v>992</v>
      </c>
      <c r="B993" s="3">
        <v>4498</v>
      </c>
      <c r="C993" s="5" t="s">
        <v>4071</v>
      </c>
      <c r="D993" s="5" t="s">
        <v>4070</v>
      </c>
      <c r="E993" s="5" t="s">
        <v>113</v>
      </c>
      <c r="F993" s="3" t="s">
        <v>4072</v>
      </c>
      <c r="G993" s="3" t="str">
        <f>"00985717"</f>
        <v>00985717</v>
      </c>
    </row>
    <row r="994" spans="1:7" x14ac:dyDescent="0.25">
      <c r="A994" s="2">
        <v>993</v>
      </c>
      <c r="B994" s="3">
        <v>8376</v>
      </c>
      <c r="C994" s="5" t="s">
        <v>981</v>
      </c>
      <c r="D994" s="5" t="s">
        <v>32</v>
      </c>
      <c r="E994" s="5" t="s">
        <v>14</v>
      </c>
      <c r="F994" s="3" t="s">
        <v>982</v>
      </c>
      <c r="G994" s="3" t="str">
        <f>"00230384"</f>
        <v>00230384</v>
      </c>
    </row>
    <row r="995" spans="1:7" x14ac:dyDescent="0.25">
      <c r="A995" s="2">
        <v>994</v>
      </c>
      <c r="B995" s="3">
        <v>4903</v>
      </c>
      <c r="C995" s="5" t="s">
        <v>981</v>
      </c>
      <c r="D995" s="5" t="s">
        <v>1016</v>
      </c>
      <c r="E995" s="5" t="s">
        <v>622</v>
      </c>
      <c r="F995" s="3" t="s">
        <v>1671</v>
      </c>
      <c r="G995" s="3" t="str">
        <f>"00934485"</f>
        <v>00934485</v>
      </c>
    </row>
    <row r="996" spans="1:7" x14ac:dyDescent="0.25">
      <c r="A996" s="2">
        <v>995</v>
      </c>
      <c r="B996" s="3">
        <v>7892</v>
      </c>
      <c r="C996" s="5" t="s">
        <v>3516</v>
      </c>
      <c r="D996" s="5" t="s">
        <v>32</v>
      </c>
      <c r="E996" s="5" t="s">
        <v>4883</v>
      </c>
      <c r="F996" s="3" t="s">
        <v>3517</v>
      </c>
      <c r="G996" s="3" t="str">
        <f>"00986923"</f>
        <v>00986923</v>
      </c>
    </row>
    <row r="997" spans="1:7" x14ac:dyDescent="0.25">
      <c r="A997" s="2">
        <v>996</v>
      </c>
      <c r="B997" s="3">
        <v>12889</v>
      </c>
      <c r="C997" s="5" t="s">
        <v>3107</v>
      </c>
      <c r="D997" s="5" t="s">
        <v>11</v>
      </c>
      <c r="E997" s="5" t="s">
        <v>52</v>
      </c>
      <c r="F997" s="3" t="s">
        <v>3108</v>
      </c>
      <c r="G997" s="3" t="str">
        <f>"00165794"</f>
        <v>00165794</v>
      </c>
    </row>
    <row r="998" spans="1:7" x14ac:dyDescent="0.25">
      <c r="A998" s="2">
        <v>997</v>
      </c>
      <c r="B998" s="3">
        <v>11738</v>
      </c>
      <c r="C998" s="5" t="s">
        <v>2498</v>
      </c>
      <c r="D998" s="5" t="s">
        <v>284</v>
      </c>
      <c r="E998" s="5" t="s">
        <v>94</v>
      </c>
      <c r="F998" s="3" t="s">
        <v>2499</v>
      </c>
      <c r="G998" s="3" t="str">
        <f>"00046466"</f>
        <v>00046466</v>
      </c>
    </row>
    <row r="999" spans="1:7" x14ac:dyDescent="0.25">
      <c r="A999" s="2">
        <v>998</v>
      </c>
      <c r="B999" s="3">
        <v>4540</v>
      </c>
      <c r="C999" s="5" t="s">
        <v>2498</v>
      </c>
      <c r="D999" s="5" t="s">
        <v>87</v>
      </c>
      <c r="E999" s="5" t="s">
        <v>94</v>
      </c>
      <c r="F999" s="3" t="s">
        <v>3803</v>
      </c>
      <c r="G999" s="3" t="str">
        <f>"00982721"</f>
        <v>00982721</v>
      </c>
    </row>
    <row r="1000" spans="1:7" x14ac:dyDescent="0.25">
      <c r="A1000" s="2">
        <v>999</v>
      </c>
      <c r="B1000" s="3">
        <v>4315</v>
      </c>
      <c r="C1000" s="5" t="s">
        <v>302</v>
      </c>
      <c r="D1000" s="5" t="s">
        <v>94</v>
      </c>
      <c r="E1000" s="5" t="s">
        <v>32</v>
      </c>
      <c r="F1000" s="3" t="s">
        <v>303</v>
      </c>
      <c r="G1000" s="3" t="str">
        <f>"00447624"</f>
        <v>00447624</v>
      </c>
    </row>
    <row r="1001" spans="1:7" x14ac:dyDescent="0.25">
      <c r="A1001" s="2">
        <v>1000</v>
      </c>
      <c r="B1001" s="3">
        <v>2358</v>
      </c>
      <c r="C1001" s="5" t="s">
        <v>142</v>
      </c>
      <c r="D1001" s="5" t="s">
        <v>38</v>
      </c>
      <c r="E1001" s="5" t="s">
        <v>11</v>
      </c>
      <c r="F1001" s="3" t="s">
        <v>143</v>
      </c>
      <c r="G1001" s="3" t="str">
        <f>"00214363"</f>
        <v>00214363</v>
      </c>
    </row>
    <row r="1002" spans="1:7" x14ac:dyDescent="0.25">
      <c r="A1002" s="2">
        <v>1001</v>
      </c>
      <c r="B1002" s="3">
        <v>10493</v>
      </c>
      <c r="C1002" s="5" t="s">
        <v>769</v>
      </c>
      <c r="D1002" s="5" t="s">
        <v>129</v>
      </c>
      <c r="E1002" s="5" t="s">
        <v>11</v>
      </c>
      <c r="F1002" s="3" t="s">
        <v>770</v>
      </c>
      <c r="G1002" s="3" t="str">
        <f>"00441032"</f>
        <v>00441032</v>
      </c>
    </row>
    <row r="1003" spans="1:7" x14ac:dyDescent="0.25">
      <c r="A1003" s="2">
        <v>1002</v>
      </c>
      <c r="B1003" s="3">
        <v>7233</v>
      </c>
      <c r="C1003" s="5" t="s">
        <v>2904</v>
      </c>
      <c r="D1003" s="5" t="s">
        <v>2903</v>
      </c>
      <c r="E1003" s="5" t="s">
        <v>3693</v>
      </c>
      <c r="F1003" s="3" t="s">
        <v>2905</v>
      </c>
      <c r="G1003" s="3" t="str">
        <f>"00541444"</f>
        <v>00541444</v>
      </c>
    </row>
    <row r="1004" spans="1:7" x14ac:dyDescent="0.25">
      <c r="A1004" s="2">
        <v>1003</v>
      </c>
      <c r="B1004" s="3">
        <v>12924</v>
      </c>
      <c r="C1004" s="5" t="s">
        <v>1760</v>
      </c>
      <c r="D1004" s="5" t="s">
        <v>1759</v>
      </c>
      <c r="E1004" s="5" t="s">
        <v>32</v>
      </c>
      <c r="F1004" s="3" t="s">
        <v>1761</v>
      </c>
      <c r="G1004" s="3" t="str">
        <f>"01015099"</f>
        <v>01015099</v>
      </c>
    </row>
    <row r="1005" spans="1:7" x14ac:dyDescent="0.25">
      <c r="A1005" s="2">
        <v>1004</v>
      </c>
      <c r="B1005" s="3">
        <v>8404</v>
      </c>
      <c r="C1005" s="5" t="s">
        <v>4245</v>
      </c>
      <c r="D1005" s="5" t="s">
        <v>91</v>
      </c>
      <c r="E1005" s="5" t="s">
        <v>44</v>
      </c>
      <c r="F1005" s="3" t="s">
        <v>4246</v>
      </c>
      <c r="G1005" s="3" t="str">
        <f>"00791197"</f>
        <v>00791197</v>
      </c>
    </row>
    <row r="1006" spans="1:7" x14ac:dyDescent="0.25">
      <c r="A1006" s="2">
        <v>1005</v>
      </c>
      <c r="B1006" s="3">
        <v>1241</v>
      </c>
      <c r="C1006" s="5" t="s">
        <v>1958</v>
      </c>
      <c r="D1006" s="5" t="s">
        <v>63</v>
      </c>
      <c r="E1006" s="5" t="s">
        <v>70</v>
      </c>
      <c r="F1006" s="3" t="s">
        <v>1959</v>
      </c>
      <c r="G1006" s="3" t="str">
        <f>"00768101"</f>
        <v>00768101</v>
      </c>
    </row>
    <row r="1007" spans="1:7" x14ac:dyDescent="0.25">
      <c r="A1007" s="2">
        <v>1006</v>
      </c>
      <c r="B1007" s="3">
        <v>6926</v>
      </c>
      <c r="C1007" s="5" t="s">
        <v>1092</v>
      </c>
      <c r="D1007" s="5" t="s">
        <v>588</v>
      </c>
      <c r="E1007" s="5" t="s">
        <v>284</v>
      </c>
      <c r="F1007" s="3" t="s">
        <v>1093</v>
      </c>
      <c r="G1007" s="3" t="str">
        <f>"00926559"</f>
        <v>00926559</v>
      </c>
    </row>
    <row r="1008" spans="1:7" x14ac:dyDescent="0.25">
      <c r="A1008" s="2">
        <v>1007</v>
      </c>
      <c r="B1008" s="3">
        <v>5620</v>
      </c>
      <c r="C1008" s="5" t="s">
        <v>2831</v>
      </c>
      <c r="D1008" s="5" t="s">
        <v>94</v>
      </c>
      <c r="E1008" s="5" t="s">
        <v>44</v>
      </c>
      <c r="F1008" s="3" t="s">
        <v>2832</v>
      </c>
      <c r="G1008" s="3" t="str">
        <f>"01015837"</f>
        <v>01015837</v>
      </c>
    </row>
    <row r="1009" spans="1:7" x14ac:dyDescent="0.25">
      <c r="A1009" s="2">
        <v>1008</v>
      </c>
      <c r="B1009" s="3">
        <v>6009</v>
      </c>
      <c r="C1009" s="5" t="s">
        <v>4341</v>
      </c>
      <c r="D1009" s="5" t="s">
        <v>4340</v>
      </c>
      <c r="E1009" s="5" t="s">
        <v>14</v>
      </c>
      <c r="F1009" s="3" t="s">
        <v>4342</v>
      </c>
      <c r="G1009" s="3" t="str">
        <f>"01014213"</f>
        <v>01014213</v>
      </c>
    </row>
    <row r="1010" spans="1:7" x14ac:dyDescent="0.25">
      <c r="A1010" s="2">
        <v>1009</v>
      </c>
      <c r="B1010" s="3">
        <v>7096</v>
      </c>
      <c r="C1010" s="5" t="s">
        <v>3913</v>
      </c>
      <c r="D1010" s="5" t="s">
        <v>545</v>
      </c>
      <c r="E1010" s="5" t="s">
        <v>14</v>
      </c>
      <c r="F1010" s="3" t="s">
        <v>3914</v>
      </c>
      <c r="G1010" s="3" t="str">
        <f>"00637228"</f>
        <v>00637228</v>
      </c>
    </row>
    <row r="1011" spans="1:7" x14ac:dyDescent="0.25">
      <c r="A1011" s="2">
        <v>1010</v>
      </c>
      <c r="B1011" s="3">
        <v>1642</v>
      </c>
      <c r="C1011" s="5" t="s">
        <v>878</v>
      </c>
      <c r="D1011" s="5" t="s">
        <v>877</v>
      </c>
      <c r="E1011" s="5" t="s">
        <v>667</v>
      </c>
      <c r="F1011" s="3" t="s">
        <v>879</v>
      </c>
      <c r="G1011" s="3" t="str">
        <f>"00184742"</f>
        <v>00184742</v>
      </c>
    </row>
    <row r="1012" spans="1:7" x14ac:dyDescent="0.25">
      <c r="A1012" s="2">
        <v>1011</v>
      </c>
      <c r="B1012" s="3">
        <v>1530</v>
      </c>
      <c r="C1012" s="5" t="s">
        <v>878</v>
      </c>
      <c r="D1012" s="5" t="s">
        <v>84</v>
      </c>
      <c r="E1012" s="5" t="s">
        <v>32</v>
      </c>
      <c r="F1012" s="3" t="s">
        <v>1219</v>
      </c>
      <c r="G1012" s="3" t="str">
        <f>"00933424"</f>
        <v>00933424</v>
      </c>
    </row>
    <row r="1013" spans="1:7" x14ac:dyDescent="0.25">
      <c r="A1013" s="2">
        <v>1012</v>
      </c>
      <c r="B1013" s="3">
        <v>5555</v>
      </c>
      <c r="C1013" s="5" t="s">
        <v>273</v>
      </c>
      <c r="D1013" s="5" t="s">
        <v>272</v>
      </c>
      <c r="E1013" s="5" t="s">
        <v>52</v>
      </c>
      <c r="F1013" s="3" t="s">
        <v>274</v>
      </c>
      <c r="G1013" s="3" t="str">
        <f>"00999975"</f>
        <v>00999975</v>
      </c>
    </row>
    <row r="1014" spans="1:7" x14ac:dyDescent="0.25">
      <c r="A1014" s="2">
        <v>1013</v>
      </c>
      <c r="B1014" s="3">
        <v>8977</v>
      </c>
      <c r="C1014" s="5" t="s">
        <v>273</v>
      </c>
      <c r="D1014" s="5" t="s">
        <v>129</v>
      </c>
      <c r="E1014" s="5" t="s">
        <v>604</v>
      </c>
      <c r="F1014" s="3" t="s">
        <v>2257</v>
      </c>
      <c r="G1014" s="3" t="str">
        <f>"00982520"</f>
        <v>00982520</v>
      </c>
    </row>
    <row r="1015" spans="1:7" x14ac:dyDescent="0.25">
      <c r="A1015" s="2">
        <v>1014</v>
      </c>
      <c r="B1015" s="3">
        <v>11100</v>
      </c>
      <c r="C1015" s="5" t="s">
        <v>3498</v>
      </c>
      <c r="D1015" s="5" t="s">
        <v>3497</v>
      </c>
      <c r="E1015" s="5" t="s">
        <v>284</v>
      </c>
      <c r="F1015" s="3" t="s">
        <v>3499</v>
      </c>
      <c r="G1015" s="3" t="str">
        <f>"201402011984"</f>
        <v>201402011984</v>
      </c>
    </row>
    <row r="1016" spans="1:7" x14ac:dyDescent="0.25">
      <c r="A1016" s="2">
        <v>1015</v>
      </c>
      <c r="B1016" s="3">
        <v>1425</v>
      </c>
      <c r="C1016" s="5" t="s">
        <v>4722</v>
      </c>
      <c r="D1016" s="5" t="s">
        <v>919</v>
      </c>
      <c r="E1016" s="5" t="s">
        <v>32</v>
      </c>
      <c r="F1016" s="3" t="s">
        <v>4723</v>
      </c>
      <c r="G1016" s="3" t="str">
        <f>"00605595"</f>
        <v>00605595</v>
      </c>
    </row>
    <row r="1017" spans="1:7" x14ac:dyDescent="0.25">
      <c r="A1017" s="2">
        <v>1016</v>
      </c>
      <c r="B1017" s="3">
        <v>9598</v>
      </c>
      <c r="C1017" s="5" t="s">
        <v>36</v>
      </c>
      <c r="D1017" s="5" t="s">
        <v>588</v>
      </c>
      <c r="E1017" s="5" t="s">
        <v>844</v>
      </c>
      <c r="F1017" s="3" t="s">
        <v>1426</v>
      </c>
      <c r="G1017" s="3" t="str">
        <f>"01002298"</f>
        <v>01002298</v>
      </c>
    </row>
    <row r="1018" spans="1:7" x14ac:dyDescent="0.25">
      <c r="A1018" s="2">
        <v>1017</v>
      </c>
      <c r="B1018" s="3">
        <v>10808</v>
      </c>
      <c r="C1018" s="5" t="s">
        <v>36</v>
      </c>
      <c r="D1018" s="5" t="s">
        <v>11</v>
      </c>
      <c r="E1018" s="5" t="s">
        <v>545</v>
      </c>
      <c r="F1018" s="3" t="s">
        <v>342</v>
      </c>
      <c r="G1018" s="3" t="str">
        <f>"00839652"</f>
        <v>00839652</v>
      </c>
    </row>
    <row r="1019" spans="1:7" x14ac:dyDescent="0.25">
      <c r="A1019" s="2">
        <v>1018</v>
      </c>
      <c r="B1019" s="3">
        <v>3906</v>
      </c>
      <c r="C1019" s="5" t="s">
        <v>36</v>
      </c>
      <c r="D1019" s="5" t="s">
        <v>35</v>
      </c>
      <c r="E1019" s="5" t="s">
        <v>2017</v>
      </c>
      <c r="F1019" s="3" t="s">
        <v>37</v>
      </c>
      <c r="G1019" s="3" t="str">
        <f>"00459619"</f>
        <v>00459619</v>
      </c>
    </row>
    <row r="1020" spans="1:7" x14ac:dyDescent="0.25">
      <c r="A1020" s="2">
        <v>1019</v>
      </c>
      <c r="B1020" s="3">
        <v>11651</v>
      </c>
      <c r="C1020" s="5" t="s">
        <v>4466</v>
      </c>
      <c r="D1020" s="5" t="s">
        <v>87</v>
      </c>
      <c r="E1020" s="5" t="s">
        <v>44</v>
      </c>
      <c r="F1020" s="3" t="s">
        <v>4467</v>
      </c>
      <c r="G1020" s="3" t="str">
        <f>"00401496"</f>
        <v>00401496</v>
      </c>
    </row>
    <row r="1021" spans="1:7" x14ac:dyDescent="0.25">
      <c r="A1021" s="2">
        <v>1020</v>
      </c>
      <c r="B1021" s="3">
        <v>3643</v>
      </c>
      <c r="C1021" s="5" t="s">
        <v>1321</v>
      </c>
      <c r="D1021" s="5" t="s">
        <v>94</v>
      </c>
      <c r="E1021" s="5" t="s">
        <v>129</v>
      </c>
      <c r="F1021" s="3" t="s">
        <v>1322</v>
      </c>
      <c r="G1021" s="3" t="str">
        <f>"00323823"</f>
        <v>00323823</v>
      </c>
    </row>
    <row r="1022" spans="1:7" x14ac:dyDescent="0.25">
      <c r="A1022" s="2">
        <v>1021</v>
      </c>
      <c r="B1022" s="3">
        <v>3521</v>
      </c>
      <c r="C1022" s="5" t="s">
        <v>1321</v>
      </c>
      <c r="D1022" s="5" t="s">
        <v>5</v>
      </c>
      <c r="E1022" s="5" t="s">
        <v>11</v>
      </c>
      <c r="F1022" s="3">
        <v>711716014</v>
      </c>
      <c r="G1022" s="3" t="str">
        <f>"00811954"</f>
        <v>00811954</v>
      </c>
    </row>
    <row r="1023" spans="1:7" x14ac:dyDescent="0.25">
      <c r="A1023" s="2">
        <v>1022</v>
      </c>
      <c r="B1023" s="3">
        <v>3843</v>
      </c>
      <c r="C1023" s="5" t="s">
        <v>1321</v>
      </c>
      <c r="D1023" s="5" t="s">
        <v>5</v>
      </c>
      <c r="E1023" s="5" t="s">
        <v>129</v>
      </c>
      <c r="F1023" s="3" t="s">
        <v>4266</v>
      </c>
      <c r="G1023" s="3" t="str">
        <f>"00335924"</f>
        <v>00335924</v>
      </c>
    </row>
    <row r="1024" spans="1:7" x14ac:dyDescent="0.25">
      <c r="A1024" s="2">
        <v>1023</v>
      </c>
      <c r="B1024" s="3">
        <v>10930</v>
      </c>
      <c r="C1024" s="5" t="s">
        <v>2262</v>
      </c>
      <c r="D1024" s="5" t="s">
        <v>776</v>
      </c>
      <c r="E1024" s="5" t="s">
        <v>4849</v>
      </c>
      <c r="F1024" s="3" t="s">
        <v>2263</v>
      </c>
      <c r="G1024" s="3" t="str">
        <f>"00144538"</f>
        <v>00144538</v>
      </c>
    </row>
    <row r="1025" spans="1:7" x14ac:dyDescent="0.25">
      <c r="A1025" s="2">
        <v>1024</v>
      </c>
      <c r="B1025" s="3">
        <v>11042</v>
      </c>
      <c r="C1025" s="5" t="s">
        <v>2456</v>
      </c>
      <c r="D1025" s="5" t="s">
        <v>24</v>
      </c>
      <c r="E1025" s="5" t="s">
        <v>951</v>
      </c>
      <c r="F1025" s="3" t="s">
        <v>2457</v>
      </c>
      <c r="G1025" s="3" t="str">
        <f>"00723587"</f>
        <v>00723587</v>
      </c>
    </row>
    <row r="1026" spans="1:7" x14ac:dyDescent="0.25">
      <c r="A1026" s="2">
        <v>1025</v>
      </c>
      <c r="B1026" s="3">
        <v>10135</v>
      </c>
      <c r="C1026" s="5" t="s">
        <v>1778</v>
      </c>
      <c r="D1026" s="5" t="s">
        <v>1777</v>
      </c>
      <c r="E1026" s="5" t="s">
        <v>129</v>
      </c>
      <c r="F1026" s="3" t="s">
        <v>1779</v>
      </c>
      <c r="G1026" s="3" t="str">
        <f>"01013371"</f>
        <v>01013371</v>
      </c>
    </row>
    <row r="1027" spans="1:7" x14ac:dyDescent="0.25">
      <c r="A1027" s="2">
        <v>1026</v>
      </c>
      <c r="B1027" s="3">
        <v>10465</v>
      </c>
      <c r="C1027" s="5" t="s">
        <v>3589</v>
      </c>
      <c r="D1027" s="5" t="s">
        <v>11</v>
      </c>
      <c r="E1027" s="5" t="s">
        <v>1432</v>
      </c>
      <c r="F1027" s="3" t="s">
        <v>3590</v>
      </c>
      <c r="G1027" s="3" t="str">
        <f>"01012930"</f>
        <v>01012930</v>
      </c>
    </row>
    <row r="1028" spans="1:7" x14ac:dyDescent="0.25">
      <c r="A1028" s="2">
        <v>1027</v>
      </c>
      <c r="B1028" s="3">
        <v>10632</v>
      </c>
      <c r="C1028" s="5" t="s">
        <v>1099</v>
      </c>
      <c r="D1028" s="5" t="s">
        <v>588</v>
      </c>
      <c r="E1028" s="5" t="s">
        <v>4915</v>
      </c>
      <c r="F1028" s="3" t="s">
        <v>4555</v>
      </c>
      <c r="G1028" s="3" t="str">
        <f>"00447771"</f>
        <v>00447771</v>
      </c>
    </row>
    <row r="1029" spans="1:7" x14ac:dyDescent="0.25">
      <c r="A1029" s="2">
        <v>1028</v>
      </c>
      <c r="B1029" s="3">
        <v>10424</v>
      </c>
      <c r="C1029" s="5" t="s">
        <v>1099</v>
      </c>
      <c r="D1029" s="5" t="s">
        <v>94</v>
      </c>
      <c r="E1029" s="5" t="s">
        <v>5</v>
      </c>
      <c r="F1029" s="3" t="s">
        <v>1100</v>
      </c>
      <c r="G1029" s="3" t="str">
        <f>"00872216"</f>
        <v>00872216</v>
      </c>
    </row>
    <row r="1030" spans="1:7" x14ac:dyDescent="0.25">
      <c r="A1030" s="2">
        <v>1029</v>
      </c>
      <c r="B1030" s="3">
        <v>2591</v>
      </c>
      <c r="C1030" s="5" t="s">
        <v>1099</v>
      </c>
      <c r="D1030" s="5" t="s">
        <v>1488</v>
      </c>
      <c r="E1030" s="5" t="s">
        <v>1607</v>
      </c>
      <c r="F1030" s="3" t="s">
        <v>2534</v>
      </c>
      <c r="G1030" s="3" t="str">
        <f>"00982938"</f>
        <v>00982938</v>
      </c>
    </row>
    <row r="1031" spans="1:7" x14ac:dyDescent="0.25">
      <c r="A1031" s="2">
        <v>1030</v>
      </c>
      <c r="B1031" s="3">
        <v>11741</v>
      </c>
      <c r="C1031" s="5" t="s">
        <v>1099</v>
      </c>
      <c r="D1031" s="5" t="s">
        <v>63</v>
      </c>
      <c r="E1031" s="5" t="s">
        <v>44</v>
      </c>
      <c r="F1031" s="3" t="s">
        <v>4457</v>
      </c>
      <c r="G1031" s="3" t="str">
        <f>"00903996"</f>
        <v>00903996</v>
      </c>
    </row>
    <row r="1032" spans="1:7" x14ac:dyDescent="0.25">
      <c r="A1032" s="2">
        <v>1031</v>
      </c>
      <c r="B1032" s="3">
        <v>12231</v>
      </c>
      <c r="C1032" s="5" t="s">
        <v>2616</v>
      </c>
      <c r="D1032" s="5" t="s">
        <v>159</v>
      </c>
      <c r="E1032" s="5" t="s">
        <v>184</v>
      </c>
      <c r="F1032" s="3" t="s">
        <v>2617</v>
      </c>
      <c r="G1032" s="3" t="str">
        <f>"201511034165"</f>
        <v>201511034165</v>
      </c>
    </row>
    <row r="1033" spans="1:7" x14ac:dyDescent="0.25">
      <c r="A1033" s="2">
        <v>1032</v>
      </c>
      <c r="B1033" s="3">
        <v>11707</v>
      </c>
      <c r="C1033" s="5" t="s">
        <v>4334</v>
      </c>
      <c r="D1033" s="5" t="s">
        <v>5</v>
      </c>
      <c r="E1033" s="5" t="s">
        <v>1318</v>
      </c>
      <c r="F1033" s="3" t="s">
        <v>4335</v>
      </c>
      <c r="G1033" s="3" t="str">
        <f>"01015590"</f>
        <v>01015590</v>
      </c>
    </row>
    <row r="1034" spans="1:7" x14ac:dyDescent="0.25">
      <c r="A1034" s="2">
        <v>1033</v>
      </c>
      <c r="B1034" s="3">
        <v>8636</v>
      </c>
      <c r="C1034" s="5" t="s">
        <v>1245</v>
      </c>
      <c r="D1034" s="5" t="s">
        <v>87</v>
      </c>
      <c r="E1034" s="5" t="s">
        <v>52</v>
      </c>
      <c r="F1034" s="3" t="s">
        <v>1246</v>
      </c>
      <c r="G1034" s="3" t="str">
        <f>"00283311"</f>
        <v>00283311</v>
      </c>
    </row>
    <row r="1035" spans="1:7" x14ac:dyDescent="0.25">
      <c r="A1035" s="2">
        <v>1034</v>
      </c>
      <c r="B1035" s="3">
        <v>9654</v>
      </c>
      <c r="C1035" s="5" t="s">
        <v>1245</v>
      </c>
      <c r="D1035" s="5" t="s">
        <v>87</v>
      </c>
      <c r="E1035" s="5" t="s">
        <v>52</v>
      </c>
      <c r="F1035" s="3" t="s">
        <v>3049</v>
      </c>
      <c r="G1035" s="3" t="str">
        <f>"00925369"</f>
        <v>00925369</v>
      </c>
    </row>
    <row r="1036" spans="1:7" x14ac:dyDescent="0.25">
      <c r="A1036" s="2">
        <v>1035</v>
      </c>
      <c r="B1036" s="3">
        <v>1106</v>
      </c>
      <c r="C1036" s="5" t="s">
        <v>1245</v>
      </c>
      <c r="D1036" s="5" t="s">
        <v>129</v>
      </c>
      <c r="E1036" s="5" t="s">
        <v>27</v>
      </c>
      <c r="F1036" s="3" t="s">
        <v>3324</v>
      </c>
      <c r="G1036" s="3" t="str">
        <f>"00901095"</f>
        <v>00901095</v>
      </c>
    </row>
    <row r="1037" spans="1:7" x14ac:dyDescent="0.25">
      <c r="A1037" s="2">
        <v>1036</v>
      </c>
      <c r="B1037" s="3">
        <v>3159</v>
      </c>
      <c r="C1037" s="5" t="s">
        <v>4712</v>
      </c>
      <c r="D1037" s="5" t="s">
        <v>773</v>
      </c>
      <c r="E1037" s="5" t="s">
        <v>214</v>
      </c>
      <c r="F1037" s="3" t="s">
        <v>4713</v>
      </c>
      <c r="G1037" s="3" t="str">
        <f>"00802685"</f>
        <v>00802685</v>
      </c>
    </row>
    <row r="1038" spans="1:7" x14ac:dyDescent="0.25">
      <c r="A1038" s="2">
        <v>1037</v>
      </c>
      <c r="B1038" s="3">
        <v>8884</v>
      </c>
      <c r="C1038" s="5" t="s">
        <v>4123</v>
      </c>
      <c r="D1038" s="5" t="s">
        <v>44</v>
      </c>
      <c r="E1038" s="5" t="s">
        <v>11</v>
      </c>
      <c r="F1038" s="3" t="s">
        <v>4124</v>
      </c>
      <c r="G1038" s="3" t="str">
        <f>"00931404"</f>
        <v>00931404</v>
      </c>
    </row>
    <row r="1039" spans="1:7" x14ac:dyDescent="0.25">
      <c r="A1039" s="2">
        <v>1038</v>
      </c>
      <c r="B1039" s="3">
        <v>10670</v>
      </c>
      <c r="C1039" s="5" t="s">
        <v>4167</v>
      </c>
      <c r="D1039" s="5" t="s">
        <v>198</v>
      </c>
      <c r="E1039" s="5" t="s">
        <v>94</v>
      </c>
      <c r="F1039" s="3" t="s">
        <v>4168</v>
      </c>
      <c r="G1039" s="3" t="str">
        <f>"00839614"</f>
        <v>00839614</v>
      </c>
    </row>
    <row r="1040" spans="1:7" x14ac:dyDescent="0.25">
      <c r="A1040" s="2">
        <v>1039</v>
      </c>
      <c r="B1040" s="3">
        <v>6831</v>
      </c>
      <c r="C1040" s="5" t="s">
        <v>586</v>
      </c>
      <c r="D1040" s="5" t="s">
        <v>585</v>
      </c>
      <c r="E1040" s="5" t="s">
        <v>207</v>
      </c>
      <c r="F1040" s="3" t="s">
        <v>587</v>
      </c>
      <c r="G1040" s="3" t="str">
        <f>"00794026"</f>
        <v>00794026</v>
      </c>
    </row>
    <row r="1041" spans="1:7" x14ac:dyDescent="0.25">
      <c r="A1041" s="2">
        <v>1040</v>
      </c>
      <c r="B1041" s="3">
        <v>8921</v>
      </c>
      <c r="C1041" s="5" t="s">
        <v>2668</v>
      </c>
      <c r="D1041" s="5" t="s">
        <v>52</v>
      </c>
      <c r="E1041" s="5" t="s">
        <v>44</v>
      </c>
      <c r="F1041" s="3" t="s">
        <v>2669</v>
      </c>
      <c r="G1041" s="3" t="str">
        <f>"00982622"</f>
        <v>00982622</v>
      </c>
    </row>
    <row r="1042" spans="1:7" x14ac:dyDescent="0.25">
      <c r="A1042" s="2">
        <v>1041</v>
      </c>
      <c r="B1042" s="3">
        <v>1686</v>
      </c>
      <c r="C1042" s="5" t="s">
        <v>1148</v>
      </c>
      <c r="D1042" s="5" t="s">
        <v>1147</v>
      </c>
      <c r="E1042" s="5" t="s">
        <v>87</v>
      </c>
      <c r="F1042" s="3">
        <v>710318011</v>
      </c>
      <c r="G1042" s="3" t="str">
        <f>"01016212"</f>
        <v>01016212</v>
      </c>
    </row>
    <row r="1043" spans="1:7" x14ac:dyDescent="0.25">
      <c r="A1043" s="2">
        <v>1042</v>
      </c>
      <c r="B1043" s="3">
        <v>9983</v>
      </c>
      <c r="C1043" s="5" t="s">
        <v>339</v>
      </c>
      <c r="D1043" s="5" t="s">
        <v>284</v>
      </c>
      <c r="E1043" s="5" t="s">
        <v>44</v>
      </c>
      <c r="F1043" s="3">
        <v>901421013</v>
      </c>
      <c r="G1043" s="3" t="str">
        <f>"01014608"</f>
        <v>01014608</v>
      </c>
    </row>
    <row r="1044" spans="1:7" x14ac:dyDescent="0.25">
      <c r="A1044" s="2">
        <v>1043</v>
      </c>
      <c r="B1044" s="3">
        <v>3080</v>
      </c>
      <c r="C1044" s="5" t="s">
        <v>4043</v>
      </c>
      <c r="D1044" s="5" t="s">
        <v>84</v>
      </c>
      <c r="E1044" s="5" t="s">
        <v>545</v>
      </c>
      <c r="F1044" s="3" t="s">
        <v>4044</v>
      </c>
      <c r="G1044" s="3" t="str">
        <f>"00104270"</f>
        <v>00104270</v>
      </c>
    </row>
    <row r="1045" spans="1:7" x14ac:dyDescent="0.25">
      <c r="A1045" s="2">
        <v>1044</v>
      </c>
      <c r="B1045" s="3">
        <v>3602</v>
      </c>
      <c r="C1045" s="5" t="s">
        <v>3036</v>
      </c>
      <c r="D1045" s="5" t="s">
        <v>52</v>
      </c>
      <c r="E1045" s="5" t="s">
        <v>44</v>
      </c>
      <c r="F1045" s="3" t="s">
        <v>3037</v>
      </c>
      <c r="G1045" s="3" t="str">
        <f>"01010231"</f>
        <v>01010231</v>
      </c>
    </row>
    <row r="1046" spans="1:7" x14ac:dyDescent="0.25">
      <c r="A1046" s="2">
        <v>1045</v>
      </c>
      <c r="B1046" s="3">
        <v>732</v>
      </c>
      <c r="C1046" s="5" t="s">
        <v>3036</v>
      </c>
      <c r="D1046" s="5" t="s">
        <v>3042</v>
      </c>
      <c r="E1046" s="5" t="s">
        <v>14</v>
      </c>
      <c r="F1046" s="3" t="s">
        <v>3191</v>
      </c>
      <c r="G1046" s="3" t="str">
        <f>"00449073"</f>
        <v>00449073</v>
      </c>
    </row>
    <row r="1047" spans="1:7" x14ac:dyDescent="0.25">
      <c r="A1047" s="2">
        <v>1046</v>
      </c>
      <c r="B1047" s="3">
        <v>7202</v>
      </c>
      <c r="C1047" s="5" t="s">
        <v>2299</v>
      </c>
      <c r="D1047" s="5" t="s">
        <v>490</v>
      </c>
      <c r="E1047" s="5" t="s">
        <v>44</v>
      </c>
      <c r="F1047" s="3" t="s">
        <v>2300</v>
      </c>
      <c r="G1047" s="3" t="str">
        <f>"00127049"</f>
        <v>00127049</v>
      </c>
    </row>
    <row r="1048" spans="1:7" x14ac:dyDescent="0.25">
      <c r="A1048" s="2">
        <v>1047</v>
      </c>
      <c r="B1048" s="3">
        <v>8584</v>
      </c>
      <c r="C1048" s="5" t="s">
        <v>3566</v>
      </c>
      <c r="D1048" s="5" t="s">
        <v>14</v>
      </c>
      <c r="E1048" s="5" t="s">
        <v>129</v>
      </c>
      <c r="F1048" s="3">
        <v>33178</v>
      </c>
      <c r="G1048" s="3" t="str">
        <f>"01012760"</f>
        <v>01012760</v>
      </c>
    </row>
    <row r="1049" spans="1:7" x14ac:dyDescent="0.25">
      <c r="A1049" s="2">
        <v>1048</v>
      </c>
      <c r="B1049" s="3">
        <v>1019</v>
      </c>
      <c r="C1049" s="5" t="s">
        <v>3566</v>
      </c>
      <c r="D1049" s="5" t="s">
        <v>545</v>
      </c>
      <c r="E1049" s="5" t="s">
        <v>129</v>
      </c>
      <c r="F1049" s="3">
        <v>33217</v>
      </c>
      <c r="G1049" s="3" t="str">
        <f>"00733674"</f>
        <v>00733674</v>
      </c>
    </row>
    <row r="1050" spans="1:7" x14ac:dyDescent="0.25">
      <c r="A1050" s="2">
        <v>1049</v>
      </c>
      <c r="B1050" s="3">
        <v>11205</v>
      </c>
      <c r="C1050" s="5" t="s">
        <v>4252</v>
      </c>
      <c r="D1050" s="5" t="s">
        <v>44</v>
      </c>
      <c r="E1050" s="5" t="s">
        <v>14</v>
      </c>
      <c r="F1050" s="3" t="s">
        <v>4253</v>
      </c>
      <c r="G1050" s="3" t="str">
        <f>"01014531"</f>
        <v>01014531</v>
      </c>
    </row>
    <row r="1051" spans="1:7" x14ac:dyDescent="0.25">
      <c r="A1051" s="2">
        <v>1050</v>
      </c>
      <c r="B1051" s="3">
        <v>9602</v>
      </c>
      <c r="C1051" s="5" t="s">
        <v>3428</v>
      </c>
      <c r="D1051" s="5" t="s">
        <v>2109</v>
      </c>
      <c r="E1051" s="5" t="s">
        <v>44</v>
      </c>
      <c r="F1051" s="3" t="s">
        <v>3429</v>
      </c>
      <c r="G1051" s="3" t="str">
        <f>"00750700"</f>
        <v>00750700</v>
      </c>
    </row>
    <row r="1052" spans="1:7" x14ac:dyDescent="0.25">
      <c r="A1052" s="2">
        <v>1051</v>
      </c>
      <c r="B1052" s="3">
        <v>6780</v>
      </c>
      <c r="C1052" s="5" t="s">
        <v>4584</v>
      </c>
      <c r="D1052" s="5" t="s">
        <v>4186</v>
      </c>
      <c r="E1052" s="5" t="s">
        <v>284</v>
      </c>
      <c r="F1052" s="3" t="s">
        <v>4585</v>
      </c>
      <c r="G1052" s="3" t="str">
        <f>"00986857"</f>
        <v>00986857</v>
      </c>
    </row>
    <row r="1053" spans="1:7" x14ac:dyDescent="0.25">
      <c r="A1053" s="2">
        <v>1052</v>
      </c>
      <c r="B1053" s="3">
        <v>10820</v>
      </c>
      <c r="C1053" s="5" t="s">
        <v>3433</v>
      </c>
      <c r="D1053" s="5" t="s">
        <v>3432</v>
      </c>
      <c r="E1053" s="5" t="s">
        <v>14</v>
      </c>
      <c r="F1053" s="3" t="s">
        <v>3434</v>
      </c>
      <c r="G1053" s="3" t="str">
        <f>"00999487"</f>
        <v>00999487</v>
      </c>
    </row>
    <row r="1054" spans="1:7" x14ac:dyDescent="0.25">
      <c r="A1054" s="2">
        <v>1053</v>
      </c>
      <c r="B1054" s="3">
        <v>9779</v>
      </c>
      <c r="C1054" s="5" t="s">
        <v>4009</v>
      </c>
      <c r="D1054" s="5" t="s">
        <v>1152</v>
      </c>
      <c r="E1054" s="5" t="s">
        <v>94</v>
      </c>
      <c r="F1054" s="3" t="s">
        <v>4010</v>
      </c>
      <c r="G1054" s="3" t="str">
        <f>"00481968"</f>
        <v>00481968</v>
      </c>
    </row>
    <row r="1055" spans="1:7" x14ac:dyDescent="0.25">
      <c r="A1055" s="2">
        <v>1054</v>
      </c>
      <c r="B1055" s="3">
        <v>306</v>
      </c>
      <c r="C1055" s="5" t="s">
        <v>3291</v>
      </c>
      <c r="D1055" s="5" t="s">
        <v>858</v>
      </c>
      <c r="E1055" s="5" t="s">
        <v>1488</v>
      </c>
      <c r="F1055" s="3">
        <v>2013377</v>
      </c>
      <c r="G1055" s="3" t="str">
        <f>"00994235"</f>
        <v>00994235</v>
      </c>
    </row>
    <row r="1056" spans="1:7" x14ac:dyDescent="0.25">
      <c r="A1056" s="2">
        <v>1055</v>
      </c>
      <c r="B1056" s="3">
        <v>11362</v>
      </c>
      <c r="C1056" s="5" t="s">
        <v>4657</v>
      </c>
      <c r="D1056" s="5" t="s">
        <v>44</v>
      </c>
      <c r="E1056" s="5" t="s">
        <v>91</v>
      </c>
      <c r="F1056" s="3" t="s">
        <v>4658</v>
      </c>
      <c r="G1056" s="3" t="str">
        <f>"00980777"</f>
        <v>00980777</v>
      </c>
    </row>
    <row r="1057" spans="1:7" x14ac:dyDescent="0.25">
      <c r="A1057" s="2">
        <v>1056</v>
      </c>
      <c r="B1057" s="3">
        <v>6321</v>
      </c>
      <c r="C1057" s="5" t="s">
        <v>4320</v>
      </c>
      <c r="D1057" s="5" t="s">
        <v>4319</v>
      </c>
      <c r="E1057" s="5" t="s">
        <v>4905</v>
      </c>
      <c r="F1057" s="3" t="s">
        <v>4321</v>
      </c>
      <c r="G1057" s="3" t="str">
        <f>"00983281"</f>
        <v>00983281</v>
      </c>
    </row>
    <row r="1058" spans="1:7" x14ac:dyDescent="0.25">
      <c r="A1058" s="2">
        <v>1057</v>
      </c>
      <c r="B1058" s="3">
        <v>4506</v>
      </c>
      <c r="C1058" s="5" t="s">
        <v>217</v>
      </c>
      <c r="D1058" s="5" t="s">
        <v>44</v>
      </c>
      <c r="E1058" s="5" t="s">
        <v>5</v>
      </c>
      <c r="F1058" s="3" t="s">
        <v>218</v>
      </c>
      <c r="G1058" s="3" t="str">
        <f>"00270056"</f>
        <v>00270056</v>
      </c>
    </row>
    <row r="1059" spans="1:7" x14ac:dyDescent="0.25">
      <c r="A1059" s="2">
        <v>1058</v>
      </c>
      <c r="B1059" s="3">
        <v>11613</v>
      </c>
      <c r="C1059" s="5" t="s">
        <v>3790</v>
      </c>
      <c r="D1059" s="5" t="s">
        <v>167</v>
      </c>
      <c r="E1059" s="5" t="s">
        <v>705</v>
      </c>
      <c r="F1059" s="3">
        <v>2015560</v>
      </c>
      <c r="G1059" s="3" t="str">
        <f>"00720984"</f>
        <v>00720984</v>
      </c>
    </row>
    <row r="1060" spans="1:7" x14ac:dyDescent="0.25">
      <c r="A1060" s="2">
        <v>1059</v>
      </c>
      <c r="B1060" s="3">
        <v>3398</v>
      </c>
      <c r="C1060" s="5" t="s">
        <v>287</v>
      </c>
      <c r="D1060" s="5" t="s">
        <v>135</v>
      </c>
      <c r="E1060" s="5" t="s">
        <v>52</v>
      </c>
      <c r="F1060" s="3">
        <v>901039021</v>
      </c>
      <c r="G1060" s="3" t="str">
        <f>"00014629"</f>
        <v>00014629</v>
      </c>
    </row>
    <row r="1061" spans="1:7" x14ac:dyDescent="0.25">
      <c r="A1061" s="2">
        <v>1060</v>
      </c>
      <c r="B1061" s="3">
        <v>5839</v>
      </c>
      <c r="C1061" s="5" t="s">
        <v>795</v>
      </c>
      <c r="D1061" s="5" t="s">
        <v>87</v>
      </c>
      <c r="E1061" s="5" t="s">
        <v>32</v>
      </c>
      <c r="F1061" s="3" t="s">
        <v>796</v>
      </c>
      <c r="G1061" s="3" t="str">
        <f>"00291718"</f>
        <v>00291718</v>
      </c>
    </row>
    <row r="1062" spans="1:7" x14ac:dyDescent="0.25">
      <c r="A1062" s="2">
        <v>1061</v>
      </c>
      <c r="B1062" s="3">
        <v>10476</v>
      </c>
      <c r="C1062" s="5" t="s">
        <v>1808</v>
      </c>
      <c r="D1062" s="5" t="s">
        <v>87</v>
      </c>
      <c r="E1062" s="5" t="s">
        <v>32</v>
      </c>
      <c r="F1062" s="3" t="s">
        <v>1809</v>
      </c>
      <c r="G1062" s="3" t="str">
        <f>"00788225"</f>
        <v>00788225</v>
      </c>
    </row>
    <row r="1063" spans="1:7" x14ac:dyDescent="0.25">
      <c r="A1063" s="2">
        <v>1062</v>
      </c>
      <c r="B1063" s="3">
        <v>5766</v>
      </c>
      <c r="C1063" s="5" t="s">
        <v>1749</v>
      </c>
      <c r="D1063" s="5" t="s">
        <v>70</v>
      </c>
      <c r="E1063" s="5" t="s">
        <v>44</v>
      </c>
      <c r="F1063" s="3" t="s">
        <v>1750</v>
      </c>
      <c r="G1063" s="3" t="str">
        <f>"00975337"</f>
        <v>00975337</v>
      </c>
    </row>
    <row r="1064" spans="1:7" x14ac:dyDescent="0.25">
      <c r="A1064" s="2">
        <v>1063</v>
      </c>
      <c r="B1064" s="3">
        <v>5399</v>
      </c>
      <c r="C1064" s="5" t="s">
        <v>1439</v>
      </c>
      <c r="D1064" s="5" t="s">
        <v>284</v>
      </c>
      <c r="E1064" s="5" t="s">
        <v>3583</v>
      </c>
      <c r="F1064" s="3" t="s">
        <v>1440</v>
      </c>
      <c r="G1064" s="3" t="str">
        <f>"00993787"</f>
        <v>00993787</v>
      </c>
    </row>
    <row r="1065" spans="1:7" x14ac:dyDescent="0.25">
      <c r="A1065" s="2">
        <v>1064</v>
      </c>
      <c r="B1065" s="3">
        <v>12500</v>
      </c>
      <c r="C1065" s="5" t="s">
        <v>3791</v>
      </c>
      <c r="D1065" s="5" t="s">
        <v>11</v>
      </c>
      <c r="E1065" s="5" t="s">
        <v>667</v>
      </c>
      <c r="F1065" s="3" t="s">
        <v>3792</v>
      </c>
      <c r="G1065" s="3" t="str">
        <f>"00934247"</f>
        <v>00934247</v>
      </c>
    </row>
    <row r="1066" spans="1:7" x14ac:dyDescent="0.25">
      <c r="A1066" s="2">
        <v>1065</v>
      </c>
      <c r="B1066" s="3">
        <v>12469</v>
      </c>
      <c r="C1066" s="5" t="s">
        <v>4087</v>
      </c>
      <c r="D1066" s="5" t="s">
        <v>1212</v>
      </c>
      <c r="E1066" s="5" t="s">
        <v>1152</v>
      </c>
      <c r="F1066" s="3" t="s">
        <v>4088</v>
      </c>
      <c r="G1066" s="3" t="str">
        <f>"00973883"</f>
        <v>00973883</v>
      </c>
    </row>
    <row r="1067" spans="1:7" x14ac:dyDescent="0.25">
      <c r="A1067" s="2">
        <v>1066</v>
      </c>
      <c r="B1067" s="3">
        <v>679</v>
      </c>
      <c r="C1067" s="5" t="s">
        <v>1768</v>
      </c>
      <c r="D1067" s="5" t="s">
        <v>87</v>
      </c>
      <c r="E1067" s="5" t="s">
        <v>263</v>
      </c>
      <c r="F1067" s="3" t="s">
        <v>3759</v>
      </c>
      <c r="G1067" s="3" t="str">
        <f>"00983462"</f>
        <v>00983462</v>
      </c>
    </row>
    <row r="1068" spans="1:7" x14ac:dyDescent="0.25">
      <c r="A1068" s="2">
        <v>1067</v>
      </c>
      <c r="B1068" s="3">
        <v>6790</v>
      </c>
      <c r="C1068" s="5" t="s">
        <v>1768</v>
      </c>
      <c r="D1068" s="5" t="s">
        <v>87</v>
      </c>
      <c r="E1068" s="5" t="s">
        <v>14</v>
      </c>
      <c r="F1068" s="3" t="s">
        <v>1769</v>
      </c>
      <c r="G1068" s="3" t="str">
        <f>"01015925"</f>
        <v>01015925</v>
      </c>
    </row>
    <row r="1069" spans="1:7" x14ac:dyDescent="0.25">
      <c r="A1069" s="2">
        <v>1068</v>
      </c>
      <c r="B1069" s="3">
        <v>7575</v>
      </c>
      <c r="C1069" s="5" t="s">
        <v>1768</v>
      </c>
      <c r="D1069" s="5" t="s">
        <v>11</v>
      </c>
      <c r="E1069" s="5" t="s">
        <v>113</v>
      </c>
      <c r="F1069" s="3" t="s">
        <v>2488</v>
      </c>
      <c r="G1069" s="3" t="str">
        <f>"01008239"</f>
        <v>01008239</v>
      </c>
    </row>
    <row r="1070" spans="1:7" x14ac:dyDescent="0.25">
      <c r="A1070" s="2">
        <v>1069</v>
      </c>
      <c r="B1070" s="3">
        <v>1765</v>
      </c>
      <c r="C1070" s="5" t="s">
        <v>991</v>
      </c>
      <c r="D1070" s="5" t="s">
        <v>2050</v>
      </c>
      <c r="E1070" s="5" t="s">
        <v>11</v>
      </c>
      <c r="F1070" s="3" t="s">
        <v>4102</v>
      </c>
      <c r="G1070" s="3" t="str">
        <f>"00072872"</f>
        <v>00072872</v>
      </c>
    </row>
    <row r="1071" spans="1:7" x14ac:dyDescent="0.25">
      <c r="A1071" s="2">
        <v>1070</v>
      </c>
      <c r="B1071" s="3">
        <v>5346</v>
      </c>
      <c r="C1071" s="5" t="s">
        <v>991</v>
      </c>
      <c r="D1071" s="5" t="s">
        <v>990</v>
      </c>
      <c r="E1071" s="5" t="s">
        <v>1549</v>
      </c>
      <c r="F1071" s="3" t="s">
        <v>992</v>
      </c>
      <c r="G1071" s="3" t="str">
        <f>"00818900"</f>
        <v>00818900</v>
      </c>
    </row>
    <row r="1072" spans="1:7" x14ac:dyDescent="0.25">
      <c r="A1072" s="2">
        <v>1071</v>
      </c>
      <c r="B1072" s="3">
        <v>2735</v>
      </c>
      <c r="C1072" s="5" t="s">
        <v>4406</v>
      </c>
      <c r="D1072" s="5" t="s">
        <v>1318</v>
      </c>
      <c r="E1072" s="5" t="s">
        <v>52</v>
      </c>
      <c r="F1072" s="3" t="s">
        <v>4407</v>
      </c>
      <c r="G1072" s="3" t="str">
        <f>"01015540"</f>
        <v>01015540</v>
      </c>
    </row>
    <row r="1073" spans="1:7" x14ac:dyDescent="0.25">
      <c r="A1073" s="2">
        <v>1072</v>
      </c>
      <c r="B1073" s="3">
        <v>6026</v>
      </c>
      <c r="C1073" s="5" t="s">
        <v>3472</v>
      </c>
      <c r="D1073" s="5" t="s">
        <v>1016</v>
      </c>
      <c r="E1073" s="5" t="s">
        <v>102</v>
      </c>
      <c r="F1073" s="3" t="s">
        <v>3473</v>
      </c>
      <c r="G1073" s="3" t="str">
        <f>"00817975"</f>
        <v>00817975</v>
      </c>
    </row>
    <row r="1074" spans="1:7" x14ac:dyDescent="0.25">
      <c r="A1074" s="2">
        <v>1073</v>
      </c>
      <c r="B1074" s="3">
        <v>10105</v>
      </c>
      <c r="C1074" s="5" t="s">
        <v>4274</v>
      </c>
      <c r="D1074" s="5" t="s">
        <v>44</v>
      </c>
      <c r="E1074" s="5" t="s">
        <v>94</v>
      </c>
      <c r="F1074" s="3" t="s">
        <v>4275</v>
      </c>
      <c r="G1074" s="3" t="str">
        <f>"01011814"</f>
        <v>01011814</v>
      </c>
    </row>
    <row r="1075" spans="1:7" x14ac:dyDescent="0.25">
      <c r="A1075" s="2">
        <v>1074</v>
      </c>
      <c r="B1075" s="3">
        <v>4573</v>
      </c>
      <c r="C1075" s="5" t="s">
        <v>2249</v>
      </c>
      <c r="D1075" s="5" t="s">
        <v>545</v>
      </c>
      <c r="E1075" s="5" t="s">
        <v>129</v>
      </c>
      <c r="F1075" s="3" t="s">
        <v>2250</v>
      </c>
      <c r="G1075" s="3" t="str">
        <f>"00479546"</f>
        <v>00479546</v>
      </c>
    </row>
    <row r="1076" spans="1:7" x14ac:dyDescent="0.25">
      <c r="A1076" s="2">
        <v>1075</v>
      </c>
      <c r="B1076" s="3">
        <v>9128</v>
      </c>
      <c r="C1076" s="5" t="s">
        <v>4517</v>
      </c>
      <c r="D1076" s="5" t="s">
        <v>1432</v>
      </c>
      <c r="E1076" s="5" t="s">
        <v>14</v>
      </c>
      <c r="F1076" s="3" t="s">
        <v>4518</v>
      </c>
      <c r="G1076" s="3" t="str">
        <f>"00389380"</f>
        <v>00389380</v>
      </c>
    </row>
    <row r="1077" spans="1:7" x14ac:dyDescent="0.25">
      <c r="A1077" s="2">
        <v>1076</v>
      </c>
      <c r="B1077" s="3">
        <v>12162</v>
      </c>
      <c r="C1077" s="5" t="s">
        <v>4704</v>
      </c>
      <c r="D1077" s="5" t="s">
        <v>1839</v>
      </c>
      <c r="E1077" s="5" t="s">
        <v>87</v>
      </c>
      <c r="F1077" s="3" t="s">
        <v>4705</v>
      </c>
      <c r="G1077" s="3" t="str">
        <f>"201412005550"</f>
        <v>201412005550</v>
      </c>
    </row>
    <row r="1078" spans="1:7" x14ac:dyDescent="0.25">
      <c r="A1078" s="2">
        <v>1077</v>
      </c>
      <c r="B1078" s="3">
        <v>5711</v>
      </c>
      <c r="C1078" s="5" t="s">
        <v>1943</v>
      </c>
      <c r="D1078" s="5" t="s">
        <v>82</v>
      </c>
      <c r="E1078" s="5" t="s">
        <v>14</v>
      </c>
      <c r="F1078" s="3" t="s">
        <v>1944</v>
      </c>
      <c r="G1078" s="3" t="str">
        <f>"00154215"</f>
        <v>00154215</v>
      </c>
    </row>
    <row r="1079" spans="1:7" x14ac:dyDescent="0.25">
      <c r="A1079" s="2">
        <v>1078</v>
      </c>
      <c r="B1079" s="3">
        <v>7273</v>
      </c>
      <c r="C1079" s="5" t="s">
        <v>2273</v>
      </c>
      <c r="D1079" s="5" t="s">
        <v>18</v>
      </c>
      <c r="E1079" s="5" t="s">
        <v>27</v>
      </c>
      <c r="F1079" s="3" t="s">
        <v>2274</v>
      </c>
      <c r="G1079" s="3" t="str">
        <f>"00625113"</f>
        <v>00625113</v>
      </c>
    </row>
    <row r="1080" spans="1:7" x14ac:dyDescent="0.25">
      <c r="A1080" s="2">
        <v>1079</v>
      </c>
      <c r="B1080" s="3">
        <v>12590</v>
      </c>
      <c r="C1080" s="5" t="s">
        <v>2192</v>
      </c>
      <c r="D1080" s="5" t="s">
        <v>5</v>
      </c>
      <c r="E1080" s="5" t="s">
        <v>1631</v>
      </c>
      <c r="F1080" s="3" t="s">
        <v>2193</v>
      </c>
      <c r="G1080" s="3" t="str">
        <f>"00994893"</f>
        <v>00994893</v>
      </c>
    </row>
    <row r="1081" spans="1:7" x14ac:dyDescent="0.25">
      <c r="A1081" s="2">
        <v>1080</v>
      </c>
      <c r="B1081" s="3">
        <v>11569</v>
      </c>
      <c r="C1081" s="5" t="s">
        <v>3477</v>
      </c>
      <c r="D1081" s="5" t="s">
        <v>129</v>
      </c>
      <c r="E1081" s="5" t="s">
        <v>810</v>
      </c>
      <c r="F1081" s="3" t="s">
        <v>3478</v>
      </c>
      <c r="G1081" s="3" t="str">
        <f>"00460065"</f>
        <v>00460065</v>
      </c>
    </row>
    <row r="1082" spans="1:7" x14ac:dyDescent="0.25">
      <c r="A1082" s="2">
        <v>1081</v>
      </c>
      <c r="B1082" s="3">
        <v>1278</v>
      </c>
      <c r="C1082" s="5" t="s">
        <v>2511</v>
      </c>
      <c r="D1082" s="5" t="s">
        <v>14</v>
      </c>
      <c r="E1082" s="5" t="s">
        <v>284</v>
      </c>
      <c r="F1082" s="3" t="s">
        <v>2921</v>
      </c>
      <c r="G1082" s="3" t="str">
        <f>"00502802"</f>
        <v>00502802</v>
      </c>
    </row>
    <row r="1083" spans="1:7" x14ac:dyDescent="0.25">
      <c r="A1083" s="2">
        <v>1082</v>
      </c>
      <c r="B1083" s="3">
        <v>12634</v>
      </c>
      <c r="C1083" s="5" t="s">
        <v>2511</v>
      </c>
      <c r="D1083" s="5" t="s">
        <v>5</v>
      </c>
      <c r="E1083" s="5" t="s">
        <v>667</v>
      </c>
      <c r="F1083" s="3" t="s">
        <v>2512</v>
      </c>
      <c r="G1083" s="3" t="str">
        <f>"01013113"</f>
        <v>01013113</v>
      </c>
    </row>
    <row r="1084" spans="1:7" x14ac:dyDescent="0.25">
      <c r="A1084" s="2">
        <v>1083</v>
      </c>
      <c r="B1084" s="3">
        <v>5476</v>
      </c>
      <c r="C1084" s="5" t="s">
        <v>1260</v>
      </c>
      <c r="D1084" s="5" t="s">
        <v>1259</v>
      </c>
      <c r="E1084" s="5" t="s">
        <v>44</v>
      </c>
      <c r="F1084" s="3" t="s">
        <v>1261</v>
      </c>
      <c r="G1084" s="3" t="str">
        <f>"00448500"</f>
        <v>00448500</v>
      </c>
    </row>
    <row r="1085" spans="1:7" x14ac:dyDescent="0.25">
      <c r="A1085" s="2">
        <v>1084</v>
      </c>
      <c r="B1085" s="3">
        <v>643</v>
      </c>
      <c r="C1085" s="5" t="s">
        <v>414</v>
      </c>
      <c r="D1085" s="5" t="s">
        <v>52</v>
      </c>
      <c r="E1085" s="5" t="s">
        <v>4392</v>
      </c>
      <c r="F1085" s="3" t="s">
        <v>415</v>
      </c>
      <c r="G1085" s="3" t="str">
        <f>"01015759"</f>
        <v>01015759</v>
      </c>
    </row>
    <row r="1086" spans="1:7" x14ac:dyDescent="0.25">
      <c r="A1086" s="2">
        <v>1085</v>
      </c>
      <c r="B1086" s="3">
        <v>4243</v>
      </c>
      <c r="C1086" s="5" t="s">
        <v>650</v>
      </c>
      <c r="D1086" s="5" t="s">
        <v>94</v>
      </c>
      <c r="E1086" s="5" t="s">
        <v>11</v>
      </c>
      <c r="F1086" s="3" t="s">
        <v>651</v>
      </c>
      <c r="G1086" s="3" t="str">
        <f>"00325200"</f>
        <v>00325200</v>
      </c>
    </row>
    <row r="1087" spans="1:7" x14ac:dyDescent="0.25">
      <c r="A1087" s="2">
        <v>1086</v>
      </c>
      <c r="B1087" s="3">
        <v>6204</v>
      </c>
      <c r="C1087" s="5" t="s">
        <v>650</v>
      </c>
      <c r="D1087" s="5" t="s">
        <v>63</v>
      </c>
      <c r="E1087" s="5" t="s">
        <v>1152</v>
      </c>
      <c r="F1087" s="3" t="s">
        <v>3115</v>
      </c>
      <c r="G1087" s="3" t="str">
        <f>"00617114"</f>
        <v>00617114</v>
      </c>
    </row>
    <row r="1088" spans="1:7" x14ac:dyDescent="0.25">
      <c r="A1088" s="2">
        <v>1087</v>
      </c>
      <c r="B1088" s="3">
        <v>4418</v>
      </c>
      <c r="C1088" s="5" t="s">
        <v>3143</v>
      </c>
      <c r="D1088" s="5" t="s">
        <v>27</v>
      </c>
      <c r="E1088" s="5" t="s">
        <v>94</v>
      </c>
      <c r="F1088" s="3" t="s">
        <v>3144</v>
      </c>
      <c r="G1088" s="3" t="str">
        <f>"201511010785"</f>
        <v>201511010785</v>
      </c>
    </row>
    <row r="1089" spans="1:7" x14ac:dyDescent="0.25">
      <c r="A1089" s="2">
        <v>1088</v>
      </c>
      <c r="B1089" s="3">
        <v>5785</v>
      </c>
      <c r="C1089" s="5" t="s">
        <v>2065</v>
      </c>
      <c r="D1089" s="5" t="s">
        <v>11</v>
      </c>
      <c r="E1089" s="5" t="s">
        <v>44</v>
      </c>
      <c r="F1089" s="3" t="s">
        <v>2066</v>
      </c>
      <c r="G1089" s="3" t="str">
        <f>"00951388"</f>
        <v>00951388</v>
      </c>
    </row>
    <row r="1090" spans="1:7" x14ac:dyDescent="0.25">
      <c r="A1090" s="2">
        <v>1089</v>
      </c>
      <c r="B1090" s="3">
        <v>4440</v>
      </c>
      <c r="C1090" s="5" t="s">
        <v>1796</v>
      </c>
      <c r="D1090" s="5" t="s">
        <v>159</v>
      </c>
      <c r="E1090" s="5" t="s">
        <v>87</v>
      </c>
      <c r="F1090" s="3" t="s">
        <v>1797</v>
      </c>
      <c r="G1090" s="3" t="str">
        <f>"00990313"</f>
        <v>00990313</v>
      </c>
    </row>
    <row r="1091" spans="1:7" x14ac:dyDescent="0.25">
      <c r="A1091" s="2">
        <v>1090</v>
      </c>
      <c r="B1091" s="3">
        <v>5248</v>
      </c>
      <c r="C1091" s="5" t="s">
        <v>3748</v>
      </c>
      <c r="D1091" s="5" t="s">
        <v>5</v>
      </c>
      <c r="E1091" s="5" t="s">
        <v>87</v>
      </c>
      <c r="F1091" s="3" t="s">
        <v>3749</v>
      </c>
      <c r="G1091" s="3" t="str">
        <f>"01011501"</f>
        <v>01011501</v>
      </c>
    </row>
    <row r="1092" spans="1:7" x14ac:dyDescent="0.25">
      <c r="A1092" s="2">
        <v>1091</v>
      </c>
      <c r="B1092" s="3">
        <v>7864</v>
      </c>
      <c r="C1092" s="5" t="s">
        <v>4511</v>
      </c>
      <c r="D1092" s="5" t="s">
        <v>94</v>
      </c>
      <c r="E1092" s="5" t="s">
        <v>4914</v>
      </c>
      <c r="F1092" s="3" t="s">
        <v>4512</v>
      </c>
      <c r="G1092" s="3" t="str">
        <f>"00223010"</f>
        <v>00223010</v>
      </c>
    </row>
    <row r="1093" spans="1:7" x14ac:dyDescent="0.25">
      <c r="A1093" s="2">
        <v>1092</v>
      </c>
      <c r="B1093" s="3">
        <v>66</v>
      </c>
      <c r="C1093" s="5" t="s">
        <v>4402</v>
      </c>
      <c r="D1093" s="5" t="s">
        <v>4401</v>
      </c>
      <c r="E1093" s="5" t="s">
        <v>87</v>
      </c>
      <c r="F1093" s="3" t="s">
        <v>4403</v>
      </c>
      <c r="G1093" s="3" t="str">
        <f>"00155614"</f>
        <v>00155614</v>
      </c>
    </row>
    <row r="1094" spans="1:7" x14ac:dyDescent="0.25">
      <c r="A1094" s="2">
        <v>1093</v>
      </c>
      <c r="B1094" s="3">
        <v>11717</v>
      </c>
      <c r="C1094" s="5" t="s">
        <v>4314</v>
      </c>
      <c r="D1094" s="5" t="s">
        <v>4313</v>
      </c>
      <c r="E1094" s="5" t="s">
        <v>32</v>
      </c>
      <c r="F1094" s="3" t="s">
        <v>4315</v>
      </c>
      <c r="G1094" s="3" t="str">
        <f>"00510250"</f>
        <v>00510250</v>
      </c>
    </row>
    <row r="1095" spans="1:7" x14ac:dyDescent="0.25">
      <c r="A1095" s="2">
        <v>1094</v>
      </c>
      <c r="B1095" s="3">
        <v>11342</v>
      </c>
      <c r="C1095" s="5" t="s">
        <v>4576</v>
      </c>
      <c r="D1095" s="5" t="s">
        <v>4575</v>
      </c>
      <c r="E1095" s="5" t="s">
        <v>4916</v>
      </c>
      <c r="F1095" s="3" t="s">
        <v>4577</v>
      </c>
      <c r="G1095" s="3" t="str">
        <f>"00985980"</f>
        <v>00985980</v>
      </c>
    </row>
    <row r="1096" spans="1:7" x14ac:dyDescent="0.25">
      <c r="A1096" s="2">
        <v>1095</v>
      </c>
      <c r="B1096" s="3">
        <v>5904</v>
      </c>
      <c r="C1096" s="5" t="s">
        <v>2324</v>
      </c>
      <c r="D1096" s="5" t="s">
        <v>304</v>
      </c>
      <c r="E1096" s="5" t="s">
        <v>87</v>
      </c>
      <c r="F1096" s="3" t="s">
        <v>3540</v>
      </c>
      <c r="G1096" s="3" t="str">
        <f>"00160676"</f>
        <v>00160676</v>
      </c>
    </row>
    <row r="1097" spans="1:7" x14ac:dyDescent="0.25">
      <c r="A1097" s="2">
        <v>1096</v>
      </c>
      <c r="B1097" s="3">
        <v>8066</v>
      </c>
      <c r="C1097" s="5" t="s">
        <v>2324</v>
      </c>
      <c r="D1097" s="5" t="s">
        <v>126</v>
      </c>
      <c r="E1097" s="5" t="s">
        <v>4850</v>
      </c>
      <c r="F1097" s="3" t="s">
        <v>2325</v>
      </c>
      <c r="G1097" s="3" t="str">
        <f>"01016760"</f>
        <v>01016760</v>
      </c>
    </row>
    <row r="1098" spans="1:7" x14ac:dyDescent="0.25">
      <c r="A1098" s="2">
        <v>1097</v>
      </c>
      <c r="B1098" s="3">
        <v>12487</v>
      </c>
      <c r="C1098" s="5" t="s">
        <v>4519</v>
      </c>
      <c r="D1098" s="5" t="s">
        <v>99</v>
      </c>
      <c r="E1098" s="5" t="s">
        <v>5</v>
      </c>
      <c r="F1098" s="3" t="s">
        <v>4520</v>
      </c>
      <c r="G1098" s="3" t="str">
        <f>"00554924"</f>
        <v>00554924</v>
      </c>
    </row>
    <row r="1099" spans="1:7" x14ac:dyDescent="0.25">
      <c r="A1099" s="2">
        <v>1098</v>
      </c>
      <c r="B1099" s="3">
        <v>11298</v>
      </c>
      <c r="C1099" s="5" t="s">
        <v>2235</v>
      </c>
      <c r="D1099" s="5" t="s">
        <v>14</v>
      </c>
      <c r="E1099" s="5" t="s">
        <v>44</v>
      </c>
      <c r="F1099" s="3" t="s">
        <v>2236</v>
      </c>
      <c r="G1099" s="3" t="str">
        <f>"00986374"</f>
        <v>00986374</v>
      </c>
    </row>
    <row r="1100" spans="1:7" x14ac:dyDescent="0.25">
      <c r="A1100" s="2">
        <v>1099</v>
      </c>
      <c r="B1100" s="3">
        <v>4065</v>
      </c>
      <c r="C1100" s="5" t="s">
        <v>3555</v>
      </c>
      <c r="D1100" s="5" t="s">
        <v>2022</v>
      </c>
      <c r="E1100" s="5" t="s">
        <v>52</v>
      </c>
      <c r="F1100" s="3" t="s">
        <v>3556</v>
      </c>
      <c r="G1100" s="3" t="str">
        <f>"00983053"</f>
        <v>00983053</v>
      </c>
    </row>
    <row r="1101" spans="1:7" x14ac:dyDescent="0.25">
      <c r="A1101" s="2">
        <v>1100</v>
      </c>
      <c r="B1101" s="3">
        <v>8103</v>
      </c>
      <c r="C1101" s="5" t="s">
        <v>124</v>
      </c>
      <c r="D1101" s="5" t="s">
        <v>123</v>
      </c>
      <c r="E1101" s="5" t="s">
        <v>87</v>
      </c>
      <c r="F1101" s="3" t="s">
        <v>125</v>
      </c>
      <c r="G1101" s="3" t="str">
        <f>"01016413"</f>
        <v>01016413</v>
      </c>
    </row>
    <row r="1102" spans="1:7" x14ac:dyDescent="0.25">
      <c r="A1102" s="2">
        <v>1101</v>
      </c>
      <c r="B1102" s="3">
        <v>10803</v>
      </c>
      <c r="C1102" s="5" t="s">
        <v>1756</v>
      </c>
      <c r="D1102" s="5" t="s">
        <v>38</v>
      </c>
      <c r="E1102" s="5" t="s">
        <v>87</v>
      </c>
      <c r="F1102" s="3" t="s">
        <v>1757</v>
      </c>
      <c r="G1102" s="3" t="str">
        <f>"01014697"</f>
        <v>01014697</v>
      </c>
    </row>
    <row r="1103" spans="1:7" x14ac:dyDescent="0.25">
      <c r="A1103" s="2">
        <v>1102</v>
      </c>
      <c r="B1103" s="3">
        <v>9212</v>
      </c>
      <c r="C1103" s="5" t="s">
        <v>2584</v>
      </c>
      <c r="D1103" s="5" t="s">
        <v>214</v>
      </c>
      <c r="E1103" s="5" t="s">
        <v>622</v>
      </c>
      <c r="F1103" s="3" t="s">
        <v>2585</v>
      </c>
      <c r="G1103" s="3" t="str">
        <f>"00985885"</f>
        <v>00985885</v>
      </c>
    </row>
    <row r="1104" spans="1:7" x14ac:dyDescent="0.25">
      <c r="A1104" s="2">
        <v>1103</v>
      </c>
      <c r="B1104" s="3">
        <v>5224</v>
      </c>
      <c r="C1104" s="5" t="s">
        <v>2584</v>
      </c>
      <c r="D1104" s="5" t="s">
        <v>87</v>
      </c>
      <c r="E1104" s="5" t="s">
        <v>52</v>
      </c>
      <c r="F1104" s="3" t="s">
        <v>2854</v>
      </c>
      <c r="G1104" s="3" t="str">
        <f>"00951788"</f>
        <v>00951788</v>
      </c>
    </row>
    <row r="1105" spans="1:7" x14ac:dyDescent="0.25">
      <c r="A1105" s="2">
        <v>1104</v>
      </c>
      <c r="B1105" s="3">
        <v>11313</v>
      </c>
      <c r="C1105" s="5" t="s">
        <v>3252</v>
      </c>
      <c r="D1105" s="5" t="s">
        <v>32</v>
      </c>
      <c r="E1105" s="5" t="s">
        <v>52</v>
      </c>
      <c r="F1105" s="3" t="s">
        <v>3253</v>
      </c>
      <c r="G1105" s="3" t="str">
        <f>"01016526"</f>
        <v>01016526</v>
      </c>
    </row>
    <row r="1106" spans="1:7" x14ac:dyDescent="0.25">
      <c r="A1106" s="2">
        <v>1105</v>
      </c>
      <c r="B1106" s="3">
        <v>6305</v>
      </c>
      <c r="C1106" s="5" t="s">
        <v>383</v>
      </c>
      <c r="D1106" s="5" t="s">
        <v>52</v>
      </c>
      <c r="E1106" s="5" t="s">
        <v>87</v>
      </c>
      <c r="F1106" s="3" t="s">
        <v>3851</v>
      </c>
      <c r="G1106" s="3" t="str">
        <f>"01001022"</f>
        <v>01001022</v>
      </c>
    </row>
    <row r="1107" spans="1:7" x14ac:dyDescent="0.25">
      <c r="A1107" s="2">
        <v>1106</v>
      </c>
      <c r="B1107" s="3">
        <v>5170</v>
      </c>
      <c r="C1107" s="5" t="s">
        <v>383</v>
      </c>
      <c r="D1107" s="5" t="s">
        <v>382</v>
      </c>
      <c r="E1107" s="5" t="s">
        <v>129</v>
      </c>
      <c r="F1107" s="3" t="s">
        <v>384</v>
      </c>
      <c r="G1107" s="3" t="str">
        <f>"00217644"</f>
        <v>00217644</v>
      </c>
    </row>
    <row r="1108" spans="1:7" x14ac:dyDescent="0.25">
      <c r="A1108" s="2">
        <v>1107</v>
      </c>
      <c r="B1108" s="3">
        <v>9085</v>
      </c>
      <c r="C1108" s="5" t="s">
        <v>3125</v>
      </c>
      <c r="D1108" s="5" t="s">
        <v>416</v>
      </c>
      <c r="E1108" s="5" t="s">
        <v>129</v>
      </c>
      <c r="F1108" s="3" t="s">
        <v>3126</v>
      </c>
      <c r="G1108" s="3" t="str">
        <f>"00121171"</f>
        <v>00121171</v>
      </c>
    </row>
    <row r="1109" spans="1:7" x14ac:dyDescent="0.25">
      <c r="A1109" s="2">
        <v>1108</v>
      </c>
      <c r="B1109" s="3">
        <v>6903</v>
      </c>
      <c r="C1109" s="5" t="s">
        <v>3870</v>
      </c>
      <c r="D1109" s="5" t="s">
        <v>1023</v>
      </c>
      <c r="E1109" s="5" t="s">
        <v>635</v>
      </c>
      <c r="F1109" s="3">
        <v>91397</v>
      </c>
      <c r="G1109" s="3" t="str">
        <f>"00802857"</f>
        <v>00802857</v>
      </c>
    </row>
    <row r="1110" spans="1:7" x14ac:dyDescent="0.25">
      <c r="A1110" s="2">
        <v>1109</v>
      </c>
      <c r="B1110" s="3">
        <v>1107</v>
      </c>
      <c r="C1110" s="5" t="s">
        <v>2117</v>
      </c>
      <c r="D1110" s="5" t="s">
        <v>187</v>
      </c>
      <c r="E1110" s="5" t="s">
        <v>11</v>
      </c>
      <c r="F1110" s="3" t="s">
        <v>2118</v>
      </c>
      <c r="G1110" s="3" t="str">
        <f>"00146499"</f>
        <v>00146499</v>
      </c>
    </row>
    <row r="1111" spans="1:7" x14ac:dyDescent="0.25">
      <c r="A1111" s="2">
        <v>1110</v>
      </c>
      <c r="B1111" s="3">
        <v>8754</v>
      </c>
      <c r="C1111" s="5" t="s">
        <v>4247</v>
      </c>
      <c r="D1111" s="5" t="s">
        <v>2033</v>
      </c>
      <c r="E1111" s="5" t="s">
        <v>4901</v>
      </c>
      <c r="F1111" s="3" t="s">
        <v>4248</v>
      </c>
      <c r="G1111" s="3" t="str">
        <f>"00445728"</f>
        <v>00445728</v>
      </c>
    </row>
    <row r="1112" spans="1:7" x14ac:dyDescent="0.25">
      <c r="A1112" s="2">
        <v>1111</v>
      </c>
      <c r="B1112" s="3">
        <v>6628</v>
      </c>
      <c r="C1112" s="5" t="s">
        <v>3341</v>
      </c>
      <c r="D1112" s="5" t="s">
        <v>184</v>
      </c>
      <c r="E1112" s="5" t="s">
        <v>52</v>
      </c>
      <c r="F1112" s="3" t="s">
        <v>3342</v>
      </c>
      <c r="G1112" s="3" t="str">
        <f>"00802950"</f>
        <v>00802950</v>
      </c>
    </row>
    <row r="1113" spans="1:7" x14ac:dyDescent="0.25">
      <c r="A1113" s="2">
        <v>1112</v>
      </c>
      <c r="B1113" s="3">
        <v>901</v>
      </c>
      <c r="C1113" s="5" t="s">
        <v>2770</v>
      </c>
      <c r="D1113" s="5" t="s">
        <v>159</v>
      </c>
      <c r="E1113" s="5" t="s">
        <v>2659</v>
      </c>
      <c r="F1113" s="3" t="s">
        <v>2771</v>
      </c>
      <c r="G1113" s="3" t="str">
        <f>"00160963"</f>
        <v>00160963</v>
      </c>
    </row>
    <row r="1114" spans="1:7" x14ac:dyDescent="0.25">
      <c r="A1114" s="2">
        <v>1113</v>
      </c>
      <c r="B1114" s="3">
        <v>4188</v>
      </c>
      <c r="C1114" s="5" t="s">
        <v>461</v>
      </c>
      <c r="D1114" s="5" t="s">
        <v>460</v>
      </c>
      <c r="E1114" s="5" t="s">
        <v>167</v>
      </c>
      <c r="F1114" s="3" t="s">
        <v>462</v>
      </c>
      <c r="G1114" s="3" t="str">
        <f>"00155125"</f>
        <v>00155125</v>
      </c>
    </row>
    <row r="1115" spans="1:7" x14ac:dyDescent="0.25">
      <c r="A1115" s="2">
        <v>1114</v>
      </c>
      <c r="B1115" s="3">
        <v>716</v>
      </c>
      <c r="C1115" s="5" t="s">
        <v>3596</v>
      </c>
      <c r="D1115" s="5" t="s">
        <v>3595</v>
      </c>
      <c r="E1115" s="5" t="s">
        <v>87</v>
      </c>
      <c r="F1115" s="3" t="s">
        <v>3597</v>
      </c>
      <c r="G1115" s="3" t="str">
        <f>"01015663"</f>
        <v>01015663</v>
      </c>
    </row>
    <row r="1116" spans="1:7" x14ac:dyDescent="0.25">
      <c r="A1116" s="2">
        <v>1115</v>
      </c>
      <c r="B1116" s="3">
        <v>9147</v>
      </c>
      <c r="C1116" s="5" t="s">
        <v>4113</v>
      </c>
      <c r="D1116" s="5" t="s">
        <v>4112</v>
      </c>
      <c r="E1116" s="5" t="s">
        <v>14</v>
      </c>
      <c r="F1116" s="3" t="s">
        <v>4114</v>
      </c>
      <c r="G1116" s="3" t="str">
        <f>"00708649"</f>
        <v>00708649</v>
      </c>
    </row>
    <row r="1117" spans="1:7" x14ac:dyDescent="0.25">
      <c r="A1117" s="2">
        <v>1116</v>
      </c>
      <c r="B1117" s="3">
        <v>10995</v>
      </c>
      <c r="C1117" s="5" t="s">
        <v>2077</v>
      </c>
      <c r="D1117" s="5" t="s">
        <v>2076</v>
      </c>
      <c r="E1117" s="5" t="s">
        <v>32</v>
      </c>
      <c r="F1117" s="3" t="s">
        <v>2078</v>
      </c>
      <c r="G1117" s="3" t="str">
        <f>"201604003650"</f>
        <v>201604003650</v>
      </c>
    </row>
    <row r="1118" spans="1:7" x14ac:dyDescent="0.25">
      <c r="A1118" s="2">
        <v>1117</v>
      </c>
      <c r="B1118" s="3">
        <v>8850</v>
      </c>
      <c r="C1118" s="5" t="s">
        <v>3205</v>
      </c>
      <c r="D1118" s="5" t="s">
        <v>810</v>
      </c>
      <c r="E1118" s="5" t="s">
        <v>545</v>
      </c>
      <c r="F1118" s="3" t="s">
        <v>3206</v>
      </c>
      <c r="G1118" s="3" t="str">
        <f>"00984490"</f>
        <v>00984490</v>
      </c>
    </row>
    <row r="1119" spans="1:7" x14ac:dyDescent="0.25">
      <c r="A1119" s="2">
        <v>1118</v>
      </c>
      <c r="B1119" s="3">
        <v>11803</v>
      </c>
      <c r="C1119" s="5" t="s">
        <v>3532</v>
      </c>
      <c r="D1119" s="5" t="s">
        <v>619</v>
      </c>
      <c r="E1119" s="5" t="s">
        <v>87</v>
      </c>
      <c r="F1119" s="3" t="s">
        <v>3533</v>
      </c>
      <c r="G1119" s="3" t="str">
        <f>"00903627"</f>
        <v>00903627</v>
      </c>
    </row>
    <row r="1120" spans="1:7" x14ac:dyDescent="0.25">
      <c r="A1120" s="2">
        <v>1119</v>
      </c>
      <c r="B1120" s="3">
        <v>7647</v>
      </c>
      <c r="C1120" s="5" t="s">
        <v>4417</v>
      </c>
      <c r="D1120" s="5" t="s">
        <v>696</v>
      </c>
      <c r="E1120" s="5" t="s">
        <v>14</v>
      </c>
      <c r="F1120" s="3" t="s">
        <v>4418</v>
      </c>
      <c r="G1120" s="3" t="str">
        <f>"00984087"</f>
        <v>00984087</v>
      </c>
    </row>
    <row r="1121" spans="1:7" x14ac:dyDescent="0.25">
      <c r="A1121" s="2">
        <v>1120</v>
      </c>
      <c r="B1121" s="3">
        <v>6608</v>
      </c>
      <c r="C1121" s="5" t="s">
        <v>4206</v>
      </c>
      <c r="D1121" s="5" t="s">
        <v>375</v>
      </c>
      <c r="E1121" s="5" t="s">
        <v>87</v>
      </c>
      <c r="F1121" s="3" t="s">
        <v>4207</v>
      </c>
      <c r="G1121" s="3" t="str">
        <f>"01013094"</f>
        <v>01013094</v>
      </c>
    </row>
    <row r="1122" spans="1:7" x14ac:dyDescent="0.25">
      <c r="A1122" s="2">
        <v>1121</v>
      </c>
      <c r="B1122" s="3">
        <v>3409</v>
      </c>
      <c r="C1122" s="5" t="s">
        <v>824</v>
      </c>
      <c r="D1122" s="5" t="s">
        <v>52</v>
      </c>
      <c r="E1122" s="5" t="s">
        <v>44</v>
      </c>
      <c r="F1122" s="3">
        <v>7112160187</v>
      </c>
      <c r="G1122" s="3" t="str">
        <f>"01012386"</f>
        <v>01012386</v>
      </c>
    </row>
    <row r="1123" spans="1:7" x14ac:dyDescent="0.25">
      <c r="A1123" s="2">
        <v>1122</v>
      </c>
      <c r="B1123" s="3">
        <v>3753</v>
      </c>
      <c r="C1123" s="5" t="s">
        <v>2442</v>
      </c>
      <c r="D1123" s="5" t="s">
        <v>366</v>
      </c>
      <c r="E1123" s="5" t="s">
        <v>14</v>
      </c>
      <c r="F1123" s="3" t="s">
        <v>2443</v>
      </c>
      <c r="G1123" s="3" t="str">
        <f>"00008049"</f>
        <v>00008049</v>
      </c>
    </row>
    <row r="1124" spans="1:7" x14ac:dyDescent="0.25">
      <c r="A1124" s="2">
        <v>1123</v>
      </c>
      <c r="B1124" s="3">
        <v>8685</v>
      </c>
      <c r="C1124" s="5" t="s">
        <v>1733</v>
      </c>
      <c r="D1124" s="5" t="s">
        <v>416</v>
      </c>
      <c r="E1124" s="5" t="s">
        <v>63</v>
      </c>
      <c r="F1124" s="3" t="s">
        <v>1734</v>
      </c>
      <c r="G1124" s="3" t="str">
        <f>"201101000096"</f>
        <v>201101000096</v>
      </c>
    </row>
    <row r="1125" spans="1:7" x14ac:dyDescent="0.25">
      <c r="A1125" s="2">
        <v>1124</v>
      </c>
      <c r="B1125" s="3">
        <v>2704</v>
      </c>
      <c r="C1125" s="5" t="s">
        <v>1667</v>
      </c>
      <c r="D1125" s="5" t="s">
        <v>11</v>
      </c>
      <c r="E1125" s="5" t="s">
        <v>4831</v>
      </c>
      <c r="F1125" s="3" t="s">
        <v>1668</v>
      </c>
      <c r="G1125" s="3" t="str">
        <f>"00993840"</f>
        <v>00993840</v>
      </c>
    </row>
    <row r="1126" spans="1:7" x14ac:dyDescent="0.25">
      <c r="A1126" s="2">
        <v>1125</v>
      </c>
      <c r="B1126" s="3">
        <v>3202</v>
      </c>
      <c r="C1126" s="5" t="s">
        <v>2974</v>
      </c>
      <c r="D1126" s="5" t="s">
        <v>38</v>
      </c>
      <c r="E1126" s="5" t="s">
        <v>503</v>
      </c>
      <c r="F1126" s="3" t="s">
        <v>2975</v>
      </c>
      <c r="G1126" s="3" t="str">
        <f>"01016444"</f>
        <v>01016444</v>
      </c>
    </row>
    <row r="1127" spans="1:7" x14ac:dyDescent="0.25">
      <c r="A1127" s="2">
        <v>1126</v>
      </c>
      <c r="B1127" s="3">
        <v>2931</v>
      </c>
      <c r="C1127" s="5" t="s">
        <v>3731</v>
      </c>
      <c r="D1127" s="5" t="s">
        <v>1187</v>
      </c>
      <c r="E1127" s="5" t="s">
        <v>4888</v>
      </c>
      <c r="F1127" s="3" t="s">
        <v>3732</v>
      </c>
      <c r="G1127" s="3" t="str">
        <f>"00877759"</f>
        <v>00877759</v>
      </c>
    </row>
    <row r="1128" spans="1:7" x14ac:dyDescent="0.25">
      <c r="A1128" s="2">
        <v>1127</v>
      </c>
      <c r="B1128" s="3">
        <v>11356</v>
      </c>
      <c r="C1128" s="5" t="s">
        <v>984</v>
      </c>
      <c r="D1128" s="5" t="s">
        <v>983</v>
      </c>
      <c r="E1128" s="5" t="s">
        <v>2659</v>
      </c>
      <c r="F1128" s="3" t="s">
        <v>985</v>
      </c>
      <c r="G1128" s="3" t="str">
        <f>"00857047"</f>
        <v>00857047</v>
      </c>
    </row>
    <row r="1129" spans="1:7" x14ac:dyDescent="0.25">
      <c r="A1129" s="2">
        <v>1128</v>
      </c>
      <c r="B1129" s="3">
        <v>5366</v>
      </c>
      <c r="C1129" s="5" t="s">
        <v>2363</v>
      </c>
      <c r="D1129" s="5" t="s">
        <v>14</v>
      </c>
      <c r="E1129" s="5" t="s">
        <v>44</v>
      </c>
      <c r="F1129" s="3" t="s">
        <v>2364</v>
      </c>
      <c r="G1129" s="3" t="str">
        <f>"00892073"</f>
        <v>00892073</v>
      </c>
    </row>
    <row r="1130" spans="1:7" x14ac:dyDescent="0.25">
      <c r="A1130" s="2">
        <v>1129</v>
      </c>
      <c r="B1130" s="3">
        <v>12261</v>
      </c>
      <c r="C1130" s="5" t="s">
        <v>1400</v>
      </c>
      <c r="D1130" s="5" t="s">
        <v>87</v>
      </c>
      <c r="E1130" s="5" t="s">
        <v>4798</v>
      </c>
      <c r="F1130" s="3" t="s">
        <v>1401</v>
      </c>
      <c r="G1130" s="3" t="str">
        <f>"00264899"</f>
        <v>00264899</v>
      </c>
    </row>
    <row r="1131" spans="1:7" x14ac:dyDescent="0.25">
      <c r="A1131" s="2">
        <v>1130</v>
      </c>
      <c r="B1131" s="3">
        <v>8678</v>
      </c>
      <c r="C1131" s="5" t="s">
        <v>3854</v>
      </c>
      <c r="D1131" s="5" t="s">
        <v>84</v>
      </c>
      <c r="E1131" s="5" t="s">
        <v>52</v>
      </c>
      <c r="F1131" s="3" t="s">
        <v>3855</v>
      </c>
      <c r="G1131" s="3" t="str">
        <f>"00785968"</f>
        <v>00785968</v>
      </c>
    </row>
    <row r="1132" spans="1:7" x14ac:dyDescent="0.25">
      <c r="A1132" s="2">
        <v>1131</v>
      </c>
      <c r="B1132" s="3">
        <v>6672</v>
      </c>
      <c r="C1132" s="5" t="s">
        <v>2184</v>
      </c>
      <c r="D1132" s="5" t="s">
        <v>52</v>
      </c>
      <c r="E1132" s="5" t="s">
        <v>14</v>
      </c>
      <c r="F1132" s="3" t="s">
        <v>2185</v>
      </c>
      <c r="G1132" s="3" t="str">
        <f>"00979663"</f>
        <v>00979663</v>
      </c>
    </row>
    <row r="1133" spans="1:7" x14ac:dyDescent="0.25">
      <c r="A1133" s="2">
        <v>1132</v>
      </c>
      <c r="B1133" s="3">
        <v>2668</v>
      </c>
      <c r="C1133" s="5" t="s">
        <v>4150</v>
      </c>
      <c r="D1133" s="5" t="s">
        <v>4639</v>
      </c>
      <c r="E1133" s="5" t="s">
        <v>70</v>
      </c>
      <c r="F1133" s="3" t="s">
        <v>4640</v>
      </c>
      <c r="G1133" s="3" t="str">
        <f>"01011152"</f>
        <v>01011152</v>
      </c>
    </row>
    <row r="1134" spans="1:7" x14ac:dyDescent="0.25">
      <c r="A1134" s="2">
        <v>1133</v>
      </c>
      <c r="B1134" s="3">
        <v>3499</v>
      </c>
      <c r="C1134" s="5" t="s">
        <v>2875</v>
      </c>
      <c r="D1134" s="5" t="s">
        <v>5</v>
      </c>
      <c r="E1134" s="5" t="s">
        <v>87</v>
      </c>
      <c r="F1134" s="3" t="s">
        <v>2876</v>
      </c>
      <c r="G1134" s="3" t="str">
        <f>"00171845"</f>
        <v>00171845</v>
      </c>
    </row>
    <row r="1135" spans="1:7" x14ac:dyDescent="0.25">
      <c r="A1135" s="2">
        <v>1134</v>
      </c>
      <c r="B1135" s="3">
        <v>7778</v>
      </c>
      <c r="C1135" s="5" t="s">
        <v>121</v>
      </c>
      <c r="D1135" s="5" t="s">
        <v>94</v>
      </c>
      <c r="E1135" s="5" t="s">
        <v>44</v>
      </c>
      <c r="F1135" s="3" t="s">
        <v>122</v>
      </c>
      <c r="G1135" s="3" t="str">
        <f>"00270559"</f>
        <v>00270559</v>
      </c>
    </row>
    <row r="1136" spans="1:7" x14ac:dyDescent="0.25">
      <c r="A1136" s="2">
        <v>1135</v>
      </c>
      <c r="B1136" s="3">
        <v>1199</v>
      </c>
      <c r="C1136" s="5" t="s">
        <v>2846</v>
      </c>
      <c r="D1136" s="5" t="s">
        <v>865</v>
      </c>
      <c r="E1136" s="5" t="s">
        <v>1139</v>
      </c>
      <c r="F1136" s="3" t="s">
        <v>2847</v>
      </c>
      <c r="G1136" s="3" t="str">
        <f>"00901442"</f>
        <v>00901442</v>
      </c>
    </row>
    <row r="1137" spans="1:7" x14ac:dyDescent="0.25">
      <c r="A1137" s="2">
        <v>1136</v>
      </c>
      <c r="B1137" s="3">
        <v>330</v>
      </c>
      <c r="C1137" s="5" t="s">
        <v>2844</v>
      </c>
      <c r="D1137" s="5" t="s">
        <v>44</v>
      </c>
      <c r="E1137" s="5" t="s">
        <v>94</v>
      </c>
      <c r="F1137" s="3" t="s">
        <v>2845</v>
      </c>
      <c r="G1137" s="3" t="str">
        <f>"00049492"</f>
        <v>00049492</v>
      </c>
    </row>
    <row r="1138" spans="1:7" x14ac:dyDescent="0.25">
      <c r="A1138" s="2">
        <v>1137</v>
      </c>
      <c r="B1138" s="3">
        <v>2332</v>
      </c>
      <c r="C1138" s="5" t="s">
        <v>182</v>
      </c>
      <c r="D1138" s="5" t="s">
        <v>52</v>
      </c>
      <c r="E1138" s="5" t="s">
        <v>87</v>
      </c>
      <c r="F1138" s="3" t="s">
        <v>183</v>
      </c>
      <c r="G1138" s="3" t="str">
        <f>"00984158"</f>
        <v>00984158</v>
      </c>
    </row>
    <row r="1139" spans="1:7" x14ac:dyDescent="0.25">
      <c r="A1139" s="2">
        <v>1138</v>
      </c>
      <c r="B1139" s="3">
        <v>1061</v>
      </c>
      <c r="C1139" s="5" t="s">
        <v>1865</v>
      </c>
      <c r="D1139" s="5" t="s">
        <v>87</v>
      </c>
      <c r="E1139" s="5" t="s">
        <v>91</v>
      </c>
      <c r="F1139" s="3" t="s">
        <v>1866</v>
      </c>
      <c r="G1139" s="3" t="str">
        <f>"00986898"</f>
        <v>00986898</v>
      </c>
    </row>
    <row r="1140" spans="1:7" x14ac:dyDescent="0.25">
      <c r="A1140" s="2">
        <v>1139</v>
      </c>
      <c r="B1140" s="3">
        <v>6272</v>
      </c>
      <c r="C1140" s="5" t="s">
        <v>3086</v>
      </c>
      <c r="D1140" s="5" t="s">
        <v>87</v>
      </c>
      <c r="E1140" s="5" t="s">
        <v>129</v>
      </c>
      <c r="F1140" s="3" t="s">
        <v>3087</v>
      </c>
      <c r="G1140" s="3" t="str">
        <f>"201511042077"</f>
        <v>201511042077</v>
      </c>
    </row>
    <row r="1141" spans="1:7" x14ac:dyDescent="0.25">
      <c r="A1141" s="2">
        <v>1140</v>
      </c>
      <c r="B1141" s="3">
        <v>3762</v>
      </c>
      <c r="C1141" s="5" t="s">
        <v>4720</v>
      </c>
      <c r="D1141" s="5" t="s">
        <v>207</v>
      </c>
      <c r="E1141" s="5" t="s">
        <v>5</v>
      </c>
      <c r="F1141" s="3" t="s">
        <v>4721</v>
      </c>
      <c r="G1141" s="3" t="str">
        <f>"00969910"</f>
        <v>00969910</v>
      </c>
    </row>
    <row r="1142" spans="1:7" x14ac:dyDescent="0.25">
      <c r="A1142" s="2">
        <v>1141</v>
      </c>
      <c r="B1142" s="3">
        <v>1480</v>
      </c>
      <c r="C1142" s="5" t="s">
        <v>1718</v>
      </c>
      <c r="D1142" s="5" t="s">
        <v>1717</v>
      </c>
      <c r="E1142" s="5" t="s">
        <v>2033</v>
      </c>
      <c r="F1142" s="3" t="s">
        <v>1719</v>
      </c>
      <c r="G1142" s="3" t="str">
        <f>"00639963"</f>
        <v>00639963</v>
      </c>
    </row>
    <row r="1143" spans="1:7" x14ac:dyDescent="0.25">
      <c r="A1143" s="2">
        <v>1142</v>
      </c>
      <c r="B1143" s="3">
        <v>7006</v>
      </c>
      <c r="C1143" s="5" t="s">
        <v>3119</v>
      </c>
      <c r="D1143" s="5" t="s">
        <v>3118</v>
      </c>
      <c r="E1143" s="5" t="s">
        <v>4872</v>
      </c>
      <c r="F1143" s="3" t="s">
        <v>3120</v>
      </c>
      <c r="G1143" s="3" t="str">
        <f>"00854759"</f>
        <v>00854759</v>
      </c>
    </row>
    <row r="1144" spans="1:7" x14ac:dyDescent="0.25">
      <c r="A1144" s="2">
        <v>1143</v>
      </c>
      <c r="B1144" s="3">
        <v>7030</v>
      </c>
      <c r="C1144" s="5" t="s">
        <v>1968</v>
      </c>
      <c r="D1144" s="5" t="s">
        <v>27</v>
      </c>
      <c r="E1144" s="5" t="s">
        <v>14</v>
      </c>
      <c r="F1144" s="3" t="s">
        <v>1969</v>
      </c>
      <c r="G1144" s="3" t="str">
        <f>"01013390"</f>
        <v>01013390</v>
      </c>
    </row>
    <row r="1145" spans="1:7" x14ac:dyDescent="0.25">
      <c r="A1145" s="2">
        <v>1144</v>
      </c>
      <c r="B1145" s="3">
        <v>12267</v>
      </c>
      <c r="C1145" s="5" t="s">
        <v>4558</v>
      </c>
      <c r="D1145" s="5" t="s">
        <v>258</v>
      </c>
      <c r="E1145" s="5" t="s">
        <v>129</v>
      </c>
      <c r="F1145" s="3" t="s">
        <v>4559</v>
      </c>
      <c r="G1145" s="3" t="str">
        <f>"00418935"</f>
        <v>00418935</v>
      </c>
    </row>
    <row r="1146" spans="1:7" x14ac:dyDescent="0.25">
      <c r="A1146" s="2">
        <v>1145</v>
      </c>
      <c r="B1146" s="3">
        <v>11352</v>
      </c>
      <c r="C1146" s="5" t="s">
        <v>2931</v>
      </c>
      <c r="D1146" s="5" t="s">
        <v>41</v>
      </c>
      <c r="E1146" s="5" t="s">
        <v>1336</v>
      </c>
      <c r="F1146" s="3" t="s">
        <v>2932</v>
      </c>
      <c r="G1146" s="3" t="str">
        <f>"00983761"</f>
        <v>00983761</v>
      </c>
    </row>
    <row r="1147" spans="1:7" x14ac:dyDescent="0.25">
      <c r="A1147" s="2">
        <v>1146</v>
      </c>
      <c r="B1147" s="3">
        <v>12971</v>
      </c>
      <c r="C1147" s="5" t="s">
        <v>85</v>
      </c>
      <c r="D1147" s="5" t="s">
        <v>84</v>
      </c>
      <c r="E1147" s="5" t="s">
        <v>38</v>
      </c>
      <c r="F1147" s="3" t="s">
        <v>86</v>
      </c>
      <c r="G1147" s="3" t="str">
        <f>"00928690"</f>
        <v>00928690</v>
      </c>
    </row>
    <row r="1148" spans="1:7" x14ac:dyDescent="0.25">
      <c r="A1148" s="2">
        <v>1147</v>
      </c>
      <c r="B1148" s="3">
        <v>10401</v>
      </c>
      <c r="C1148" s="5" t="s">
        <v>2908</v>
      </c>
      <c r="D1148" s="5" t="s">
        <v>358</v>
      </c>
      <c r="E1148" s="5" t="s">
        <v>44</v>
      </c>
      <c r="F1148" s="3" t="s">
        <v>2909</v>
      </c>
      <c r="G1148" s="3" t="str">
        <f>"00954435"</f>
        <v>00954435</v>
      </c>
    </row>
    <row r="1149" spans="1:7" x14ac:dyDescent="0.25">
      <c r="A1149" s="2">
        <v>1148</v>
      </c>
      <c r="B1149" s="3">
        <v>231</v>
      </c>
      <c r="C1149" s="5" t="s">
        <v>3846</v>
      </c>
      <c r="D1149" s="5" t="s">
        <v>207</v>
      </c>
      <c r="E1149" s="5" t="s">
        <v>1432</v>
      </c>
      <c r="F1149" s="3" t="s">
        <v>3847</v>
      </c>
      <c r="G1149" s="3" t="str">
        <f>"00994381"</f>
        <v>00994381</v>
      </c>
    </row>
    <row r="1150" spans="1:7" x14ac:dyDescent="0.25">
      <c r="A1150" s="2">
        <v>1149</v>
      </c>
      <c r="B1150" s="3">
        <v>5037</v>
      </c>
      <c r="C1150" s="5" t="s">
        <v>4734</v>
      </c>
      <c r="D1150" s="5" t="s">
        <v>428</v>
      </c>
      <c r="E1150" s="5" t="s">
        <v>1318</v>
      </c>
      <c r="F1150" s="3" t="s">
        <v>4735</v>
      </c>
      <c r="G1150" s="3" t="str">
        <f>"00852618"</f>
        <v>00852618</v>
      </c>
    </row>
    <row r="1151" spans="1:7" x14ac:dyDescent="0.25">
      <c r="A1151" s="2">
        <v>1150</v>
      </c>
      <c r="B1151" s="3">
        <v>9087</v>
      </c>
      <c r="C1151" s="5" t="s">
        <v>1982</v>
      </c>
      <c r="D1151" s="5" t="s">
        <v>14</v>
      </c>
      <c r="E1151" s="5" t="s">
        <v>38</v>
      </c>
      <c r="F1151" s="3" t="s">
        <v>1983</v>
      </c>
      <c r="G1151" s="3" t="str">
        <f>"00157373"</f>
        <v>00157373</v>
      </c>
    </row>
    <row r="1152" spans="1:7" x14ac:dyDescent="0.25">
      <c r="A1152" s="2">
        <v>1151</v>
      </c>
      <c r="B1152" s="3">
        <v>2329</v>
      </c>
      <c r="C1152" s="5" t="s">
        <v>470</v>
      </c>
      <c r="D1152" s="5" t="s">
        <v>126</v>
      </c>
      <c r="E1152" s="5" t="s">
        <v>91</v>
      </c>
      <c r="F1152" s="3" t="s">
        <v>471</v>
      </c>
      <c r="G1152" s="3" t="str">
        <f>"201511019465"</f>
        <v>201511019465</v>
      </c>
    </row>
    <row r="1153" spans="1:7" x14ac:dyDescent="0.25">
      <c r="A1153" s="2">
        <v>1152</v>
      </c>
      <c r="B1153" s="3">
        <v>10422</v>
      </c>
      <c r="C1153" s="5" t="s">
        <v>1310</v>
      </c>
      <c r="D1153" s="5" t="s">
        <v>87</v>
      </c>
      <c r="E1153" s="5" t="s">
        <v>32</v>
      </c>
      <c r="F1153" s="3">
        <v>710056016</v>
      </c>
      <c r="G1153" s="3" t="str">
        <f>"00141346"</f>
        <v>00141346</v>
      </c>
    </row>
    <row r="1154" spans="1:7" x14ac:dyDescent="0.25">
      <c r="A1154" s="2">
        <v>1153</v>
      </c>
      <c r="B1154" s="3">
        <v>10387</v>
      </c>
      <c r="C1154" s="5" t="s">
        <v>1310</v>
      </c>
      <c r="D1154" s="5" t="s">
        <v>82</v>
      </c>
      <c r="E1154" s="5" t="s">
        <v>284</v>
      </c>
      <c r="F1154" s="3">
        <v>296489018</v>
      </c>
      <c r="G1154" s="3" t="str">
        <f>"01015083"</f>
        <v>01015083</v>
      </c>
    </row>
    <row r="1155" spans="1:7" x14ac:dyDescent="0.25">
      <c r="A1155" s="2">
        <v>1154</v>
      </c>
      <c r="B1155" s="3">
        <v>6079</v>
      </c>
      <c r="C1155" s="5" t="s">
        <v>1310</v>
      </c>
      <c r="D1155" s="5" t="s">
        <v>129</v>
      </c>
      <c r="E1155" s="5" t="s">
        <v>284</v>
      </c>
      <c r="F1155" s="3" t="s">
        <v>1803</v>
      </c>
      <c r="G1155" s="3" t="str">
        <f>"00817252"</f>
        <v>00817252</v>
      </c>
    </row>
    <row r="1156" spans="1:7" x14ac:dyDescent="0.25">
      <c r="A1156" s="2">
        <v>1155</v>
      </c>
      <c r="B1156" s="3">
        <v>4974</v>
      </c>
      <c r="C1156" s="5" t="s">
        <v>1310</v>
      </c>
      <c r="D1156" s="5" t="s">
        <v>2251</v>
      </c>
      <c r="E1156" s="5" t="s">
        <v>44</v>
      </c>
      <c r="F1156" s="3">
        <v>2719765</v>
      </c>
      <c r="G1156" s="3" t="str">
        <f>"00816206"</f>
        <v>00816206</v>
      </c>
    </row>
    <row r="1157" spans="1:7" x14ac:dyDescent="0.25">
      <c r="A1157" s="2">
        <v>1156</v>
      </c>
      <c r="B1157" s="3">
        <v>5634</v>
      </c>
      <c r="C1157" s="5" t="s">
        <v>1310</v>
      </c>
      <c r="D1157" s="5" t="s">
        <v>5</v>
      </c>
      <c r="E1157" s="5" t="s">
        <v>113</v>
      </c>
      <c r="F1157" s="3">
        <v>90742</v>
      </c>
      <c r="G1157" s="3" t="str">
        <f>"01012731"</f>
        <v>01012731</v>
      </c>
    </row>
    <row r="1158" spans="1:7" x14ac:dyDescent="0.25">
      <c r="A1158" s="2">
        <v>1157</v>
      </c>
      <c r="B1158" s="3">
        <v>12536</v>
      </c>
      <c r="C1158" s="5" t="s">
        <v>1912</v>
      </c>
      <c r="D1158" s="5" t="s">
        <v>5</v>
      </c>
      <c r="E1158" s="5" t="s">
        <v>214</v>
      </c>
      <c r="F1158" s="3" t="s">
        <v>1913</v>
      </c>
      <c r="G1158" s="3" t="str">
        <f>"00450632"</f>
        <v>00450632</v>
      </c>
    </row>
    <row r="1159" spans="1:7" x14ac:dyDescent="0.25">
      <c r="A1159" s="2">
        <v>1158</v>
      </c>
      <c r="B1159" s="3">
        <v>5287</v>
      </c>
      <c r="C1159" s="5" t="s">
        <v>862</v>
      </c>
      <c r="D1159" s="5" t="s">
        <v>416</v>
      </c>
      <c r="E1159" s="5" t="s">
        <v>52</v>
      </c>
      <c r="F1159" s="3">
        <v>89457</v>
      </c>
      <c r="G1159" s="3" t="str">
        <f>"01018051"</f>
        <v>01018051</v>
      </c>
    </row>
    <row r="1160" spans="1:7" x14ac:dyDescent="0.25">
      <c r="A1160" s="2">
        <v>1159</v>
      </c>
      <c r="B1160" s="3">
        <v>6796</v>
      </c>
      <c r="C1160" s="5" t="s">
        <v>4328</v>
      </c>
      <c r="D1160" s="5" t="s">
        <v>167</v>
      </c>
      <c r="E1160" s="5" t="s">
        <v>11</v>
      </c>
      <c r="F1160" s="3" t="s">
        <v>4329</v>
      </c>
      <c r="G1160" s="3" t="str">
        <f>"01013349"</f>
        <v>01013349</v>
      </c>
    </row>
    <row r="1161" spans="1:7" x14ac:dyDescent="0.25">
      <c r="A1161" s="2">
        <v>1160</v>
      </c>
      <c r="B1161" s="3">
        <v>2583</v>
      </c>
      <c r="C1161" s="5" t="s">
        <v>1840</v>
      </c>
      <c r="D1161" s="5" t="s">
        <v>1839</v>
      </c>
      <c r="E1161" s="5" t="s">
        <v>252</v>
      </c>
      <c r="F1161" s="3" t="s">
        <v>1841</v>
      </c>
      <c r="G1161" s="3" t="str">
        <f>"00986504"</f>
        <v>00986504</v>
      </c>
    </row>
    <row r="1162" spans="1:7" x14ac:dyDescent="0.25">
      <c r="A1162" s="2">
        <v>1161</v>
      </c>
      <c r="B1162" s="3">
        <v>2769</v>
      </c>
      <c r="C1162" s="5" t="s">
        <v>2897</v>
      </c>
      <c r="D1162" s="5" t="s">
        <v>479</v>
      </c>
      <c r="E1162" s="5" t="s">
        <v>32</v>
      </c>
      <c r="F1162" s="3" t="s">
        <v>2898</v>
      </c>
      <c r="G1162" s="3" t="str">
        <f>"00844111"</f>
        <v>00844111</v>
      </c>
    </row>
    <row r="1163" spans="1:7" x14ac:dyDescent="0.25">
      <c r="A1163" s="2">
        <v>1162</v>
      </c>
      <c r="B1163" s="3">
        <v>395</v>
      </c>
      <c r="C1163" s="5" t="s">
        <v>288</v>
      </c>
      <c r="D1163" s="5" t="s">
        <v>113</v>
      </c>
      <c r="E1163" s="5" t="s">
        <v>44</v>
      </c>
      <c r="F1163" s="3" t="s">
        <v>289</v>
      </c>
      <c r="G1163" s="3" t="str">
        <f>"00063190"</f>
        <v>00063190</v>
      </c>
    </row>
    <row r="1164" spans="1:7" x14ac:dyDescent="0.25">
      <c r="A1164" s="2">
        <v>1163</v>
      </c>
      <c r="B1164" s="3">
        <v>10097</v>
      </c>
      <c r="C1164" s="5" t="s">
        <v>4553</v>
      </c>
      <c r="D1164" s="5" t="s">
        <v>258</v>
      </c>
      <c r="E1164" s="5" t="s">
        <v>129</v>
      </c>
      <c r="F1164" s="3" t="s">
        <v>4554</v>
      </c>
      <c r="G1164" s="3" t="str">
        <f>"01014227"</f>
        <v>01014227</v>
      </c>
    </row>
    <row r="1165" spans="1:7" x14ac:dyDescent="0.25">
      <c r="A1165" s="2">
        <v>1164</v>
      </c>
      <c r="B1165" s="3">
        <v>10243</v>
      </c>
      <c r="C1165" s="5" t="s">
        <v>2548</v>
      </c>
      <c r="D1165" s="5" t="s">
        <v>14</v>
      </c>
      <c r="E1165" s="5" t="s">
        <v>5</v>
      </c>
      <c r="F1165" s="3" t="s">
        <v>2549</v>
      </c>
      <c r="G1165" s="3" t="str">
        <f>"00679978"</f>
        <v>00679978</v>
      </c>
    </row>
    <row r="1166" spans="1:7" x14ac:dyDescent="0.25">
      <c r="A1166" s="2">
        <v>1165</v>
      </c>
      <c r="B1166" s="3">
        <v>1539</v>
      </c>
      <c r="C1166" s="5" t="s">
        <v>4501</v>
      </c>
      <c r="D1166" s="5" t="s">
        <v>11</v>
      </c>
      <c r="E1166" s="5" t="s">
        <v>52</v>
      </c>
      <c r="F1166" s="3" t="s">
        <v>4502</v>
      </c>
      <c r="G1166" s="3" t="str">
        <f>"00981560"</f>
        <v>00981560</v>
      </c>
    </row>
    <row r="1167" spans="1:7" x14ac:dyDescent="0.25">
      <c r="A1167" s="2">
        <v>1166</v>
      </c>
      <c r="B1167" s="3">
        <v>9006</v>
      </c>
      <c r="C1167" s="5" t="s">
        <v>2302</v>
      </c>
      <c r="D1167" s="5" t="s">
        <v>503</v>
      </c>
      <c r="E1167" s="5" t="s">
        <v>135</v>
      </c>
      <c r="F1167" s="3" t="s">
        <v>2303</v>
      </c>
      <c r="G1167" s="3" t="str">
        <f>"00486378"</f>
        <v>00486378</v>
      </c>
    </row>
    <row r="1168" spans="1:7" x14ac:dyDescent="0.25">
      <c r="A1168" s="2">
        <v>1167</v>
      </c>
      <c r="B1168" s="3">
        <v>11694</v>
      </c>
      <c r="C1168" s="5" t="s">
        <v>1209</v>
      </c>
      <c r="D1168" s="5" t="s">
        <v>865</v>
      </c>
      <c r="E1168" s="5" t="s">
        <v>214</v>
      </c>
      <c r="F1168" s="3">
        <v>90999</v>
      </c>
      <c r="G1168" s="3" t="str">
        <f>"01012505"</f>
        <v>01012505</v>
      </c>
    </row>
    <row r="1169" spans="1:7" x14ac:dyDescent="0.25">
      <c r="A1169" s="2">
        <v>1168</v>
      </c>
      <c r="B1169" s="3">
        <v>3541</v>
      </c>
      <c r="C1169" s="5" t="s">
        <v>3826</v>
      </c>
      <c r="D1169" s="5" t="s">
        <v>366</v>
      </c>
      <c r="E1169" s="5" t="s">
        <v>91</v>
      </c>
      <c r="F1169" s="3" t="s">
        <v>3827</v>
      </c>
      <c r="G1169" s="3" t="str">
        <f>"00986614"</f>
        <v>00986614</v>
      </c>
    </row>
    <row r="1170" spans="1:7" x14ac:dyDescent="0.25">
      <c r="A1170" s="2">
        <v>1169</v>
      </c>
      <c r="B1170" s="3">
        <v>2254</v>
      </c>
      <c r="C1170" s="5" t="s">
        <v>89</v>
      </c>
      <c r="D1170" s="5" t="s">
        <v>5</v>
      </c>
      <c r="E1170" s="5" t="s">
        <v>184</v>
      </c>
      <c r="F1170" s="3" t="s">
        <v>90</v>
      </c>
      <c r="G1170" s="3" t="str">
        <f>"01017007"</f>
        <v>01017007</v>
      </c>
    </row>
    <row r="1171" spans="1:7" x14ac:dyDescent="0.25">
      <c r="A1171" s="2">
        <v>1170</v>
      </c>
      <c r="B1171" s="3">
        <v>5298</v>
      </c>
      <c r="C1171" s="5" t="s">
        <v>2348</v>
      </c>
      <c r="D1171" s="5" t="s">
        <v>2347</v>
      </c>
      <c r="E1171" s="5" t="s">
        <v>14</v>
      </c>
      <c r="F1171" s="3" t="s">
        <v>2349</v>
      </c>
      <c r="G1171" s="3" t="str">
        <f>"00981078"</f>
        <v>00981078</v>
      </c>
    </row>
    <row r="1172" spans="1:7" x14ac:dyDescent="0.25">
      <c r="A1172" s="2">
        <v>1171</v>
      </c>
      <c r="B1172" s="3">
        <v>9232</v>
      </c>
      <c r="C1172" s="5" t="s">
        <v>3608</v>
      </c>
      <c r="D1172" s="5" t="s">
        <v>810</v>
      </c>
      <c r="E1172" s="5" t="s">
        <v>776</v>
      </c>
      <c r="F1172" s="3">
        <v>711816019</v>
      </c>
      <c r="G1172" s="3" t="str">
        <f>"01014111"</f>
        <v>01014111</v>
      </c>
    </row>
    <row r="1173" spans="1:7" x14ac:dyDescent="0.25">
      <c r="A1173" s="2">
        <v>1172</v>
      </c>
      <c r="B1173" s="3">
        <v>11055</v>
      </c>
      <c r="C1173" s="5" t="s">
        <v>2838</v>
      </c>
      <c r="D1173" s="5" t="s">
        <v>1549</v>
      </c>
      <c r="E1173" s="5" t="s">
        <v>44</v>
      </c>
      <c r="F1173" s="3" t="s">
        <v>2839</v>
      </c>
      <c r="G1173" s="3" t="str">
        <f>"01013086"</f>
        <v>01013086</v>
      </c>
    </row>
    <row r="1174" spans="1:7" x14ac:dyDescent="0.25">
      <c r="A1174" s="2">
        <v>1173</v>
      </c>
      <c r="B1174" s="3">
        <v>11303</v>
      </c>
      <c r="C1174" s="5" t="s">
        <v>3919</v>
      </c>
      <c r="D1174" s="5" t="s">
        <v>113</v>
      </c>
      <c r="E1174" s="5" t="s">
        <v>52</v>
      </c>
      <c r="F1174" s="3" t="s">
        <v>3920</v>
      </c>
      <c r="G1174" s="3" t="str">
        <f>"00191351"</f>
        <v>00191351</v>
      </c>
    </row>
    <row r="1175" spans="1:7" x14ac:dyDescent="0.25">
      <c r="A1175" s="2">
        <v>1174</v>
      </c>
      <c r="B1175" s="3">
        <v>2660</v>
      </c>
      <c r="C1175" s="5" t="s">
        <v>2312</v>
      </c>
      <c r="D1175" s="5" t="s">
        <v>465</v>
      </c>
      <c r="E1175" s="5" t="s">
        <v>2828</v>
      </c>
      <c r="F1175" s="3" t="s">
        <v>2313</v>
      </c>
      <c r="G1175" s="3" t="str">
        <f>"01016259"</f>
        <v>01016259</v>
      </c>
    </row>
    <row r="1176" spans="1:7" x14ac:dyDescent="0.25">
      <c r="A1176" s="2">
        <v>1175</v>
      </c>
      <c r="B1176" s="3">
        <v>7189</v>
      </c>
      <c r="C1176" s="5" t="s">
        <v>2096</v>
      </c>
      <c r="D1176" s="5" t="s">
        <v>830</v>
      </c>
      <c r="E1176" s="5" t="s">
        <v>63</v>
      </c>
      <c r="F1176" s="3" t="s">
        <v>2097</v>
      </c>
      <c r="G1176" s="3" t="str">
        <f>"01015799"</f>
        <v>01015799</v>
      </c>
    </row>
    <row r="1177" spans="1:7" x14ac:dyDescent="0.25">
      <c r="A1177" s="2">
        <v>1176</v>
      </c>
      <c r="B1177" s="3">
        <v>9593</v>
      </c>
      <c r="C1177" s="5" t="s">
        <v>1490</v>
      </c>
      <c r="D1177" s="5" t="s">
        <v>548</v>
      </c>
      <c r="E1177" s="5" t="s">
        <v>635</v>
      </c>
      <c r="F1177" s="3" t="s">
        <v>1491</v>
      </c>
      <c r="G1177" s="3" t="str">
        <f>"00536893"</f>
        <v>00536893</v>
      </c>
    </row>
    <row r="1178" spans="1:7" x14ac:dyDescent="0.25">
      <c r="A1178" s="2">
        <v>1177</v>
      </c>
      <c r="B1178" s="3">
        <v>11088</v>
      </c>
      <c r="C1178" s="5" t="s">
        <v>3210</v>
      </c>
      <c r="D1178" s="5" t="s">
        <v>3209</v>
      </c>
      <c r="E1178" s="5" t="s">
        <v>44</v>
      </c>
      <c r="F1178" s="3" t="s">
        <v>3211</v>
      </c>
      <c r="G1178" s="3" t="str">
        <f>"00984733"</f>
        <v>00984733</v>
      </c>
    </row>
    <row r="1179" spans="1:7" x14ac:dyDescent="0.25">
      <c r="A1179" s="2">
        <v>1178</v>
      </c>
      <c r="B1179" s="3">
        <v>5060</v>
      </c>
      <c r="C1179" s="5" t="s">
        <v>325</v>
      </c>
      <c r="D1179" s="5" t="s">
        <v>41</v>
      </c>
      <c r="E1179" s="5" t="s">
        <v>214</v>
      </c>
      <c r="F1179" s="3" t="s">
        <v>326</v>
      </c>
      <c r="G1179" s="3" t="str">
        <f>"00440561"</f>
        <v>00440561</v>
      </c>
    </row>
    <row r="1180" spans="1:7" x14ac:dyDescent="0.25">
      <c r="A1180" s="2">
        <v>1179</v>
      </c>
      <c r="B1180" s="3">
        <v>11608</v>
      </c>
      <c r="C1180" s="5" t="s">
        <v>828</v>
      </c>
      <c r="D1180" s="5" t="s">
        <v>113</v>
      </c>
      <c r="E1180" s="5" t="s">
        <v>87</v>
      </c>
      <c r="F1180" s="3" t="s">
        <v>829</v>
      </c>
      <c r="G1180" s="3" t="str">
        <f>"00365844"</f>
        <v>00365844</v>
      </c>
    </row>
    <row r="1181" spans="1:7" x14ac:dyDescent="0.25">
      <c r="A1181" s="2">
        <v>1180</v>
      </c>
      <c r="B1181" s="3">
        <v>1789</v>
      </c>
      <c r="C1181" s="5" t="s">
        <v>828</v>
      </c>
      <c r="D1181" s="5" t="s">
        <v>154</v>
      </c>
      <c r="E1181" s="5" t="s">
        <v>32</v>
      </c>
      <c r="F1181" s="3" t="s">
        <v>1988</v>
      </c>
      <c r="G1181" s="3" t="str">
        <f>"00977376"</f>
        <v>00977376</v>
      </c>
    </row>
    <row r="1182" spans="1:7" x14ac:dyDescent="0.25">
      <c r="A1182" s="2">
        <v>1181</v>
      </c>
      <c r="B1182" s="3">
        <v>3808</v>
      </c>
      <c r="C1182" s="5" t="s">
        <v>2136</v>
      </c>
      <c r="D1182" s="5" t="s">
        <v>41</v>
      </c>
      <c r="E1182" s="5" t="s">
        <v>94</v>
      </c>
      <c r="F1182" s="3" t="str">
        <f>"055665"</f>
        <v>055665</v>
      </c>
      <c r="G1182" s="3" t="str">
        <f>"00456964"</f>
        <v>00456964</v>
      </c>
    </row>
    <row r="1183" spans="1:7" x14ac:dyDescent="0.25">
      <c r="A1183" s="2">
        <v>1182</v>
      </c>
      <c r="B1183" s="3">
        <v>9253</v>
      </c>
      <c r="C1183" s="5" t="s">
        <v>706</v>
      </c>
      <c r="D1183" s="5" t="s">
        <v>705</v>
      </c>
      <c r="E1183" s="5" t="s">
        <v>129</v>
      </c>
      <c r="F1183" s="3" t="s">
        <v>707</v>
      </c>
      <c r="G1183" s="3" t="str">
        <f>"00748500"</f>
        <v>00748500</v>
      </c>
    </row>
    <row r="1184" spans="1:7" x14ac:dyDescent="0.25">
      <c r="A1184" s="2">
        <v>1183</v>
      </c>
      <c r="B1184" s="3">
        <v>9692</v>
      </c>
      <c r="C1184" s="5" t="s">
        <v>4214</v>
      </c>
      <c r="D1184" s="5" t="s">
        <v>44</v>
      </c>
      <c r="E1184" s="5" t="s">
        <v>52</v>
      </c>
      <c r="F1184" s="3" t="s">
        <v>4215</v>
      </c>
      <c r="G1184" s="3" t="str">
        <f>"00543802"</f>
        <v>00543802</v>
      </c>
    </row>
    <row r="1185" spans="1:7" x14ac:dyDescent="0.25">
      <c r="A1185" s="2">
        <v>1184</v>
      </c>
      <c r="B1185" s="3">
        <v>2420</v>
      </c>
      <c r="C1185" s="5" t="s">
        <v>4214</v>
      </c>
      <c r="D1185" s="5" t="s">
        <v>858</v>
      </c>
      <c r="E1185" s="5" t="s">
        <v>5</v>
      </c>
      <c r="F1185" s="3" t="s">
        <v>4727</v>
      </c>
      <c r="G1185" s="3" t="str">
        <f>"01016224"</f>
        <v>01016224</v>
      </c>
    </row>
    <row r="1186" spans="1:7" x14ac:dyDescent="0.25">
      <c r="A1186" s="2">
        <v>1185</v>
      </c>
      <c r="B1186" s="3">
        <v>6008</v>
      </c>
      <c r="C1186" s="5" t="s">
        <v>974</v>
      </c>
      <c r="D1186" s="5" t="s">
        <v>1212</v>
      </c>
      <c r="E1186" s="5" t="s">
        <v>87</v>
      </c>
      <c r="F1186" s="3" t="s">
        <v>1895</v>
      </c>
      <c r="G1186" s="3" t="str">
        <f>"00930109"</f>
        <v>00930109</v>
      </c>
    </row>
    <row r="1187" spans="1:7" x14ac:dyDescent="0.25">
      <c r="A1187" s="2">
        <v>1186</v>
      </c>
      <c r="B1187" s="3">
        <v>10685</v>
      </c>
      <c r="C1187" s="5" t="s">
        <v>974</v>
      </c>
      <c r="D1187" s="5" t="s">
        <v>66</v>
      </c>
      <c r="E1187" s="5" t="s">
        <v>52</v>
      </c>
      <c r="F1187" s="3" t="s">
        <v>975</v>
      </c>
      <c r="G1187" s="3" t="str">
        <f>"00984981"</f>
        <v>00984981</v>
      </c>
    </row>
    <row r="1188" spans="1:7" x14ac:dyDescent="0.25">
      <c r="A1188" s="2">
        <v>1187</v>
      </c>
      <c r="B1188" s="3">
        <v>356</v>
      </c>
      <c r="C1188" s="5" t="s">
        <v>631</v>
      </c>
      <c r="D1188" s="5" t="s">
        <v>555</v>
      </c>
      <c r="E1188" s="5" t="s">
        <v>11</v>
      </c>
      <c r="F1188" s="3">
        <v>2013420</v>
      </c>
      <c r="G1188" s="3" t="str">
        <f>"00986239"</f>
        <v>00986239</v>
      </c>
    </row>
    <row r="1189" spans="1:7" x14ac:dyDescent="0.25">
      <c r="A1189" s="2">
        <v>1188</v>
      </c>
      <c r="B1189" s="3">
        <v>873</v>
      </c>
      <c r="C1189" s="5" t="s">
        <v>1677</v>
      </c>
      <c r="D1189" s="5" t="s">
        <v>5</v>
      </c>
      <c r="E1189" s="5" t="s">
        <v>752</v>
      </c>
      <c r="F1189" s="3" t="s">
        <v>1678</v>
      </c>
      <c r="G1189" s="3" t="str">
        <f>"00679552"</f>
        <v>00679552</v>
      </c>
    </row>
    <row r="1190" spans="1:7" x14ac:dyDescent="0.25">
      <c r="A1190" s="2">
        <v>1189</v>
      </c>
      <c r="B1190" s="3">
        <v>1399</v>
      </c>
      <c r="C1190" s="5" t="s">
        <v>1250</v>
      </c>
      <c r="D1190" s="5" t="s">
        <v>44</v>
      </c>
      <c r="E1190" s="5" t="s">
        <v>32</v>
      </c>
      <c r="F1190" s="3" t="s">
        <v>1251</v>
      </c>
      <c r="G1190" s="3" t="str">
        <f>"00191953"</f>
        <v>00191953</v>
      </c>
    </row>
    <row r="1191" spans="1:7" x14ac:dyDescent="0.25">
      <c r="A1191" s="2">
        <v>1190</v>
      </c>
      <c r="B1191" s="3">
        <v>6524</v>
      </c>
      <c r="C1191" s="5" t="s">
        <v>1644</v>
      </c>
      <c r="D1191" s="5" t="s">
        <v>129</v>
      </c>
      <c r="E1191" s="5" t="s">
        <v>87</v>
      </c>
      <c r="F1191" s="3" t="s">
        <v>1645</v>
      </c>
      <c r="G1191" s="3" t="str">
        <f>"00838778"</f>
        <v>00838778</v>
      </c>
    </row>
    <row r="1192" spans="1:7" x14ac:dyDescent="0.25">
      <c r="A1192" s="2">
        <v>1191</v>
      </c>
      <c r="B1192" s="3">
        <v>1423</v>
      </c>
      <c r="C1192" s="5" t="s">
        <v>2436</v>
      </c>
      <c r="D1192" s="5" t="s">
        <v>87</v>
      </c>
      <c r="E1192" s="5" t="s">
        <v>207</v>
      </c>
      <c r="F1192" s="3" t="s">
        <v>2437</v>
      </c>
      <c r="G1192" s="3" t="str">
        <f>"00985458"</f>
        <v>00985458</v>
      </c>
    </row>
    <row r="1193" spans="1:7" x14ac:dyDescent="0.25">
      <c r="A1193" s="2">
        <v>1192</v>
      </c>
      <c r="B1193" s="3">
        <v>12395</v>
      </c>
      <c r="C1193" s="5" t="s">
        <v>2646</v>
      </c>
      <c r="D1193" s="5" t="s">
        <v>11</v>
      </c>
      <c r="E1193" s="5" t="s">
        <v>14</v>
      </c>
      <c r="F1193" s="3" t="s">
        <v>2647</v>
      </c>
      <c r="G1193" s="3" t="str">
        <f>"00985080"</f>
        <v>00985080</v>
      </c>
    </row>
    <row r="1194" spans="1:7" x14ac:dyDescent="0.25">
      <c r="A1194" s="2">
        <v>1193</v>
      </c>
      <c r="B1194" s="3">
        <v>6621</v>
      </c>
      <c r="C1194" s="5" t="s">
        <v>2252</v>
      </c>
      <c r="D1194" s="5" t="s">
        <v>252</v>
      </c>
      <c r="E1194" s="5" t="s">
        <v>82</v>
      </c>
      <c r="F1194" s="3" t="s">
        <v>2253</v>
      </c>
      <c r="G1194" s="3" t="str">
        <f>"00449694"</f>
        <v>00449694</v>
      </c>
    </row>
    <row r="1195" spans="1:7" x14ac:dyDescent="0.25">
      <c r="A1195" s="2">
        <v>1194</v>
      </c>
      <c r="B1195" s="3">
        <v>10127</v>
      </c>
      <c r="C1195" s="5" t="s">
        <v>898</v>
      </c>
      <c r="D1195" s="5" t="s">
        <v>11</v>
      </c>
      <c r="E1195" s="5" t="s">
        <v>82</v>
      </c>
      <c r="F1195" s="3" t="s">
        <v>899</v>
      </c>
      <c r="G1195" s="3" t="str">
        <f>"01013935"</f>
        <v>01013935</v>
      </c>
    </row>
    <row r="1196" spans="1:7" x14ac:dyDescent="0.25">
      <c r="A1196" s="2">
        <v>1195</v>
      </c>
      <c r="B1196" s="3">
        <v>4877</v>
      </c>
      <c r="C1196" s="5" t="s">
        <v>4109</v>
      </c>
      <c r="D1196" s="5" t="s">
        <v>11</v>
      </c>
      <c r="E1196" s="5" t="s">
        <v>91</v>
      </c>
      <c r="F1196" s="3" t="s">
        <v>4110</v>
      </c>
      <c r="G1196" s="3" t="str">
        <f>"00803344"</f>
        <v>00803344</v>
      </c>
    </row>
    <row r="1197" spans="1:7" x14ac:dyDescent="0.25">
      <c r="A1197" s="2">
        <v>1196</v>
      </c>
      <c r="B1197" s="3">
        <v>10667</v>
      </c>
      <c r="C1197" s="5" t="s">
        <v>3712</v>
      </c>
      <c r="D1197" s="5" t="s">
        <v>87</v>
      </c>
      <c r="E1197" s="5" t="s">
        <v>94</v>
      </c>
      <c r="F1197" s="3" t="s">
        <v>3713</v>
      </c>
      <c r="G1197" s="3" t="str">
        <f>"01014873"</f>
        <v>01014873</v>
      </c>
    </row>
    <row r="1198" spans="1:7" x14ac:dyDescent="0.25">
      <c r="A1198" s="2">
        <v>1197</v>
      </c>
      <c r="B1198" s="3">
        <v>12335</v>
      </c>
      <c r="C1198" s="5" t="s">
        <v>4191</v>
      </c>
      <c r="D1198" s="5" t="s">
        <v>129</v>
      </c>
      <c r="E1198" s="5" t="s">
        <v>11</v>
      </c>
      <c r="F1198" s="3" t="s">
        <v>4192</v>
      </c>
      <c r="G1198" s="3" t="str">
        <f>"00984234"</f>
        <v>00984234</v>
      </c>
    </row>
    <row r="1199" spans="1:7" x14ac:dyDescent="0.25">
      <c r="A1199" s="2">
        <v>1198</v>
      </c>
      <c r="B1199" s="3">
        <v>8219</v>
      </c>
      <c r="C1199" s="5" t="s">
        <v>2226</v>
      </c>
      <c r="D1199" s="5" t="s">
        <v>2225</v>
      </c>
      <c r="E1199" s="5" t="s">
        <v>113</v>
      </c>
      <c r="F1199" s="3" t="s">
        <v>2227</v>
      </c>
      <c r="G1199" s="3" t="str">
        <f>"00777744"</f>
        <v>00777744</v>
      </c>
    </row>
    <row r="1200" spans="1:7" x14ac:dyDescent="0.25">
      <c r="A1200" s="2">
        <v>1199</v>
      </c>
      <c r="B1200" s="3">
        <v>2542</v>
      </c>
      <c r="C1200" s="5" t="s">
        <v>4235</v>
      </c>
      <c r="D1200" s="5" t="s">
        <v>94</v>
      </c>
      <c r="E1200" s="5" t="s">
        <v>14</v>
      </c>
      <c r="F1200" s="3" t="s">
        <v>4236</v>
      </c>
      <c r="G1200" s="3" t="str">
        <f>"00981552"</f>
        <v>00981552</v>
      </c>
    </row>
    <row r="1201" spans="1:7" x14ac:dyDescent="0.25">
      <c r="A1201" s="2">
        <v>1200</v>
      </c>
      <c r="B1201" s="3">
        <v>7105</v>
      </c>
      <c r="C1201" s="5" t="s">
        <v>4678</v>
      </c>
      <c r="D1201" s="5" t="s">
        <v>304</v>
      </c>
      <c r="E1201" s="5" t="s">
        <v>52</v>
      </c>
      <c r="F1201" s="3" t="s">
        <v>4679</v>
      </c>
      <c r="G1201" s="3" t="str">
        <f>"01013416"</f>
        <v>01013416</v>
      </c>
    </row>
    <row r="1202" spans="1:7" x14ac:dyDescent="0.25">
      <c r="A1202" s="2">
        <v>1201</v>
      </c>
      <c r="B1202" s="3">
        <v>10888</v>
      </c>
      <c r="C1202" s="5" t="s">
        <v>2233</v>
      </c>
      <c r="D1202" s="5" t="s">
        <v>490</v>
      </c>
      <c r="E1202" s="5" t="s">
        <v>129</v>
      </c>
      <c r="F1202" s="3" t="s">
        <v>2234</v>
      </c>
      <c r="G1202" s="3" t="str">
        <f>"00788857"</f>
        <v>00788857</v>
      </c>
    </row>
    <row r="1203" spans="1:7" x14ac:dyDescent="0.25">
      <c r="A1203" s="2">
        <v>1202</v>
      </c>
      <c r="B1203" s="3">
        <v>7537</v>
      </c>
      <c r="C1203" s="5" t="s">
        <v>980</v>
      </c>
      <c r="D1203" s="5" t="s">
        <v>63</v>
      </c>
      <c r="E1203" s="5" t="s">
        <v>14</v>
      </c>
      <c r="F1203" s="3">
        <v>971336</v>
      </c>
      <c r="G1203" s="3" t="str">
        <f>"00473901"</f>
        <v>00473901</v>
      </c>
    </row>
    <row r="1204" spans="1:7" x14ac:dyDescent="0.25">
      <c r="A1204" s="2">
        <v>1203</v>
      </c>
      <c r="B1204" s="3">
        <v>8814</v>
      </c>
      <c r="C1204" s="5" t="s">
        <v>4492</v>
      </c>
      <c r="D1204" s="5" t="s">
        <v>1023</v>
      </c>
      <c r="E1204" s="5" t="s">
        <v>5</v>
      </c>
      <c r="F1204" s="3" t="s">
        <v>4493</v>
      </c>
      <c r="G1204" s="3" t="str">
        <f>"00932110"</f>
        <v>00932110</v>
      </c>
    </row>
    <row r="1205" spans="1:7" x14ac:dyDescent="0.25">
      <c r="A1205" s="2">
        <v>1204</v>
      </c>
      <c r="B1205" s="3">
        <v>9264</v>
      </c>
      <c r="C1205" s="5" t="s">
        <v>1873</v>
      </c>
      <c r="D1205" s="5" t="s">
        <v>632</v>
      </c>
      <c r="E1205" s="5" t="s">
        <v>44</v>
      </c>
      <c r="F1205" s="3" t="s">
        <v>1874</v>
      </c>
      <c r="G1205" s="3" t="str">
        <f>"00683357"</f>
        <v>00683357</v>
      </c>
    </row>
    <row r="1206" spans="1:7" x14ac:dyDescent="0.25">
      <c r="A1206" s="2">
        <v>1205</v>
      </c>
      <c r="B1206" s="3">
        <v>3942</v>
      </c>
      <c r="C1206" s="5" t="s">
        <v>1873</v>
      </c>
      <c r="D1206" s="5" t="s">
        <v>52</v>
      </c>
      <c r="E1206" s="5" t="s">
        <v>214</v>
      </c>
      <c r="F1206" s="3" t="s">
        <v>4676</v>
      </c>
      <c r="G1206" s="3" t="str">
        <f>"00797325"</f>
        <v>00797325</v>
      </c>
    </row>
    <row r="1207" spans="1:7" x14ac:dyDescent="0.25">
      <c r="A1207" s="2">
        <v>1206</v>
      </c>
      <c r="B1207" s="3">
        <v>5902</v>
      </c>
      <c r="C1207" s="5" t="s">
        <v>305</v>
      </c>
      <c r="D1207" s="5" t="s">
        <v>304</v>
      </c>
      <c r="E1207" s="5" t="s">
        <v>11</v>
      </c>
      <c r="F1207" s="3" t="s">
        <v>306</v>
      </c>
      <c r="G1207" s="3" t="str">
        <f>"201401000212"</f>
        <v>201401000212</v>
      </c>
    </row>
    <row r="1208" spans="1:7" x14ac:dyDescent="0.25">
      <c r="A1208" s="2">
        <v>1207</v>
      </c>
      <c r="B1208" s="3">
        <v>15</v>
      </c>
      <c r="C1208" s="5" t="s">
        <v>4095</v>
      </c>
      <c r="D1208" s="5" t="s">
        <v>749</v>
      </c>
      <c r="E1208" s="5" t="s">
        <v>5</v>
      </c>
      <c r="F1208" s="3" t="s">
        <v>4096</v>
      </c>
      <c r="G1208" s="3" t="str">
        <f>"00953985"</f>
        <v>00953985</v>
      </c>
    </row>
    <row r="1209" spans="1:7" x14ac:dyDescent="0.25">
      <c r="A1209" s="2">
        <v>1208</v>
      </c>
      <c r="B1209" s="3">
        <v>10713</v>
      </c>
      <c r="C1209" s="5" t="s">
        <v>1492</v>
      </c>
      <c r="D1209" s="5" t="s">
        <v>184</v>
      </c>
      <c r="E1209" s="5" t="s">
        <v>52</v>
      </c>
      <c r="F1209" s="3" t="s">
        <v>1493</v>
      </c>
      <c r="G1209" s="3" t="str">
        <f>"00989507"</f>
        <v>00989507</v>
      </c>
    </row>
    <row r="1210" spans="1:7" x14ac:dyDescent="0.25">
      <c r="A1210" s="2">
        <v>1209</v>
      </c>
      <c r="B1210" s="3">
        <v>10480</v>
      </c>
      <c r="C1210" s="5" t="s">
        <v>160</v>
      </c>
      <c r="D1210" s="5" t="s">
        <v>159</v>
      </c>
      <c r="E1210" s="5" t="s">
        <v>207</v>
      </c>
      <c r="F1210" s="3" t="s">
        <v>161</v>
      </c>
      <c r="G1210" s="3" t="str">
        <f>"00026300"</f>
        <v>00026300</v>
      </c>
    </row>
    <row r="1211" spans="1:7" x14ac:dyDescent="0.25">
      <c r="A1211" s="2">
        <v>1210</v>
      </c>
      <c r="B1211" s="3">
        <v>10845</v>
      </c>
      <c r="C1211" s="5" t="s">
        <v>2476</v>
      </c>
      <c r="D1211" s="5" t="s">
        <v>52</v>
      </c>
      <c r="E1211" s="5" t="s">
        <v>2033</v>
      </c>
      <c r="F1211" s="3" t="s">
        <v>2477</v>
      </c>
      <c r="G1211" s="3" t="str">
        <f>"00816713"</f>
        <v>00816713</v>
      </c>
    </row>
    <row r="1212" spans="1:7" x14ac:dyDescent="0.25">
      <c r="A1212" s="2">
        <v>1211</v>
      </c>
      <c r="B1212" s="3">
        <v>5291</v>
      </c>
      <c r="C1212" s="5" t="s">
        <v>3911</v>
      </c>
      <c r="D1212" s="5" t="s">
        <v>87</v>
      </c>
      <c r="E1212" s="5" t="s">
        <v>91</v>
      </c>
      <c r="F1212" s="3" t="s">
        <v>3912</v>
      </c>
      <c r="G1212" s="3" t="str">
        <f>"00816340"</f>
        <v>00816340</v>
      </c>
    </row>
    <row r="1213" spans="1:7" x14ac:dyDescent="0.25">
      <c r="A1213" s="2">
        <v>1212</v>
      </c>
      <c r="B1213" s="3">
        <v>2904</v>
      </c>
      <c r="C1213" s="5" t="s">
        <v>359</v>
      </c>
      <c r="D1213" s="5" t="s">
        <v>358</v>
      </c>
      <c r="E1213" s="5" t="s">
        <v>135</v>
      </c>
      <c r="F1213" s="3" t="s">
        <v>360</v>
      </c>
      <c r="G1213" s="3" t="str">
        <f>"00914820"</f>
        <v>00914820</v>
      </c>
    </row>
    <row r="1214" spans="1:7" x14ac:dyDescent="0.25">
      <c r="A1214" s="2">
        <v>1213</v>
      </c>
      <c r="B1214" s="3">
        <v>1216</v>
      </c>
      <c r="C1214" s="5" t="s">
        <v>1207</v>
      </c>
      <c r="D1214" s="5" t="s">
        <v>44</v>
      </c>
      <c r="E1214" s="5" t="s">
        <v>32</v>
      </c>
      <c r="F1214" s="3" t="s">
        <v>4279</v>
      </c>
      <c r="G1214" s="3" t="str">
        <f>"00870445"</f>
        <v>00870445</v>
      </c>
    </row>
    <row r="1215" spans="1:7" x14ac:dyDescent="0.25">
      <c r="A1215" s="2">
        <v>1214</v>
      </c>
      <c r="B1215" s="3">
        <v>173</v>
      </c>
      <c r="C1215" s="5" t="s">
        <v>1207</v>
      </c>
      <c r="D1215" s="5" t="s">
        <v>2786</v>
      </c>
      <c r="E1215" s="5" t="s">
        <v>1618</v>
      </c>
      <c r="F1215" s="3" t="s">
        <v>3622</v>
      </c>
      <c r="G1215" s="3" t="str">
        <f>"00666216"</f>
        <v>00666216</v>
      </c>
    </row>
    <row r="1216" spans="1:7" x14ac:dyDescent="0.25">
      <c r="A1216" s="2">
        <v>1215</v>
      </c>
      <c r="B1216" s="3">
        <v>13034</v>
      </c>
      <c r="C1216" s="5" t="s">
        <v>3479</v>
      </c>
      <c r="D1216" s="5" t="s">
        <v>198</v>
      </c>
      <c r="E1216" s="5" t="s">
        <v>5</v>
      </c>
      <c r="F1216" s="3" t="s">
        <v>3480</v>
      </c>
      <c r="G1216" s="3" t="str">
        <f>"00093302"</f>
        <v>00093302</v>
      </c>
    </row>
    <row r="1217" spans="1:7" x14ac:dyDescent="0.25">
      <c r="A1217" s="2">
        <v>1216</v>
      </c>
      <c r="B1217" s="3">
        <v>8764</v>
      </c>
      <c r="C1217" s="5" t="s">
        <v>922</v>
      </c>
      <c r="D1217" s="5" t="s">
        <v>558</v>
      </c>
      <c r="E1217" s="5" t="s">
        <v>44</v>
      </c>
      <c r="F1217" s="3" t="s">
        <v>923</v>
      </c>
      <c r="G1217" s="3" t="str">
        <f>"00778936"</f>
        <v>00778936</v>
      </c>
    </row>
    <row r="1218" spans="1:7" x14ac:dyDescent="0.25">
      <c r="A1218" s="2">
        <v>1217</v>
      </c>
      <c r="B1218" s="3">
        <v>2333</v>
      </c>
      <c r="C1218" s="5" t="s">
        <v>293</v>
      </c>
      <c r="D1218" s="5" t="s">
        <v>41</v>
      </c>
      <c r="E1218" s="5" t="s">
        <v>14</v>
      </c>
      <c r="F1218" s="3" t="s">
        <v>294</v>
      </c>
      <c r="G1218" s="3" t="str">
        <f>"00389900"</f>
        <v>00389900</v>
      </c>
    </row>
    <row r="1219" spans="1:7" x14ac:dyDescent="0.25">
      <c r="A1219" s="2">
        <v>1218</v>
      </c>
      <c r="B1219" s="3">
        <v>304</v>
      </c>
      <c r="C1219" s="5" t="s">
        <v>4039</v>
      </c>
      <c r="D1219" s="5" t="s">
        <v>38</v>
      </c>
      <c r="E1219" s="5" t="s">
        <v>41</v>
      </c>
      <c r="F1219" s="3" t="s">
        <v>4040</v>
      </c>
      <c r="G1219" s="3" t="str">
        <f>"00804333"</f>
        <v>00804333</v>
      </c>
    </row>
    <row r="1220" spans="1:7" x14ac:dyDescent="0.25">
      <c r="A1220" s="2">
        <v>1219</v>
      </c>
      <c r="B1220" s="3">
        <v>1114</v>
      </c>
      <c r="C1220" s="5" t="s">
        <v>2873</v>
      </c>
      <c r="D1220" s="5" t="s">
        <v>44</v>
      </c>
      <c r="E1220" s="5" t="s">
        <v>38</v>
      </c>
      <c r="F1220" s="3" t="s">
        <v>2874</v>
      </c>
      <c r="G1220" s="3" t="str">
        <f>"00981666"</f>
        <v>00981666</v>
      </c>
    </row>
    <row r="1221" spans="1:7" x14ac:dyDescent="0.25">
      <c r="A1221" s="2">
        <v>1220</v>
      </c>
      <c r="B1221" s="3">
        <v>466</v>
      </c>
      <c r="C1221" s="5" t="s">
        <v>1292</v>
      </c>
      <c r="D1221" s="5" t="s">
        <v>44</v>
      </c>
      <c r="E1221" s="5" t="s">
        <v>167</v>
      </c>
      <c r="F1221" s="3" t="s">
        <v>2286</v>
      </c>
      <c r="G1221" s="3" t="str">
        <f>"01012865"</f>
        <v>01012865</v>
      </c>
    </row>
    <row r="1222" spans="1:7" x14ac:dyDescent="0.25">
      <c r="A1222" s="2">
        <v>1221</v>
      </c>
      <c r="B1222" s="3">
        <v>1595</v>
      </c>
      <c r="C1222" s="5" t="s">
        <v>3695</v>
      </c>
      <c r="D1222" s="5" t="s">
        <v>696</v>
      </c>
      <c r="E1222" s="5" t="s">
        <v>167</v>
      </c>
      <c r="F1222" s="3" t="s">
        <v>3696</v>
      </c>
      <c r="G1222" s="3" t="str">
        <f>"01013431"</f>
        <v>01013431</v>
      </c>
    </row>
    <row r="1223" spans="1:7" x14ac:dyDescent="0.25">
      <c r="A1223" s="2">
        <v>1222</v>
      </c>
      <c r="B1223" s="3">
        <v>1750</v>
      </c>
      <c r="C1223" s="5" t="s">
        <v>4322</v>
      </c>
      <c r="D1223" s="5" t="s">
        <v>214</v>
      </c>
      <c r="E1223" s="5" t="s">
        <v>990</v>
      </c>
      <c r="F1223" s="3" t="s">
        <v>4323</v>
      </c>
      <c r="G1223" s="3" t="str">
        <f>"00978114"</f>
        <v>00978114</v>
      </c>
    </row>
    <row r="1224" spans="1:7" x14ac:dyDescent="0.25">
      <c r="A1224" s="2">
        <v>1223</v>
      </c>
      <c r="B1224" s="3">
        <v>12352</v>
      </c>
      <c r="C1224" s="5" t="s">
        <v>2520</v>
      </c>
      <c r="D1224" s="5" t="s">
        <v>366</v>
      </c>
      <c r="E1224" s="5" t="s">
        <v>2204</v>
      </c>
      <c r="F1224" s="3" t="s">
        <v>2521</v>
      </c>
      <c r="G1224" s="3" t="str">
        <f>"00888829"</f>
        <v>00888829</v>
      </c>
    </row>
    <row r="1225" spans="1:7" x14ac:dyDescent="0.25">
      <c r="A1225" s="2">
        <v>1224</v>
      </c>
      <c r="B1225" s="3">
        <v>6840</v>
      </c>
      <c r="C1225" s="5" t="s">
        <v>2929</v>
      </c>
      <c r="D1225" s="5" t="s">
        <v>32</v>
      </c>
      <c r="E1225" s="5" t="s">
        <v>27</v>
      </c>
      <c r="F1225" s="3" t="s">
        <v>2930</v>
      </c>
      <c r="G1225" s="3" t="str">
        <f>"00991103"</f>
        <v>00991103</v>
      </c>
    </row>
    <row r="1226" spans="1:7" x14ac:dyDescent="0.25">
      <c r="A1226" s="2">
        <v>1225</v>
      </c>
      <c r="B1226" s="3">
        <v>12938</v>
      </c>
      <c r="C1226" s="5" t="s">
        <v>1121</v>
      </c>
      <c r="D1226" s="5" t="s">
        <v>644</v>
      </c>
      <c r="E1226" s="5" t="s">
        <v>844</v>
      </c>
      <c r="F1226" s="3" t="s">
        <v>3551</v>
      </c>
      <c r="G1226" s="3" t="str">
        <f>"01011008"</f>
        <v>01011008</v>
      </c>
    </row>
    <row r="1227" spans="1:7" x14ac:dyDescent="0.25">
      <c r="A1227" s="2">
        <v>1226</v>
      </c>
      <c r="B1227" s="3">
        <v>12722</v>
      </c>
      <c r="C1227" s="5" t="s">
        <v>1121</v>
      </c>
      <c r="D1227" s="5" t="s">
        <v>149</v>
      </c>
      <c r="E1227" s="5" t="s">
        <v>82</v>
      </c>
      <c r="F1227" s="3" t="s">
        <v>1122</v>
      </c>
      <c r="G1227" s="3" t="str">
        <f>"201507003374"</f>
        <v>201507003374</v>
      </c>
    </row>
    <row r="1228" spans="1:7" x14ac:dyDescent="0.25">
      <c r="A1228" s="2">
        <v>1227</v>
      </c>
      <c r="B1228" s="3">
        <v>611</v>
      </c>
      <c r="C1228" s="5" t="s">
        <v>1121</v>
      </c>
      <c r="D1228" s="5" t="s">
        <v>1336</v>
      </c>
      <c r="E1228" s="5" t="s">
        <v>11</v>
      </c>
      <c r="F1228" s="3">
        <v>2719777</v>
      </c>
      <c r="G1228" s="3" t="str">
        <f>"00984502"</f>
        <v>00984502</v>
      </c>
    </row>
    <row r="1229" spans="1:7" x14ac:dyDescent="0.25">
      <c r="A1229" s="2">
        <v>1228</v>
      </c>
      <c r="B1229" s="3">
        <v>12372</v>
      </c>
      <c r="C1229" s="5" t="s">
        <v>4085</v>
      </c>
      <c r="D1229" s="5" t="s">
        <v>214</v>
      </c>
      <c r="E1229" s="5" t="s">
        <v>38</v>
      </c>
      <c r="F1229" s="3" t="s">
        <v>4086</v>
      </c>
      <c r="G1229" s="3" t="str">
        <f>"00985558"</f>
        <v>00985558</v>
      </c>
    </row>
    <row r="1230" spans="1:7" x14ac:dyDescent="0.25">
      <c r="A1230" s="2">
        <v>1229</v>
      </c>
      <c r="B1230" s="3">
        <v>2479</v>
      </c>
      <c r="C1230" s="5" t="s">
        <v>295</v>
      </c>
      <c r="D1230" s="5" t="s">
        <v>198</v>
      </c>
      <c r="E1230" s="5" t="s">
        <v>87</v>
      </c>
      <c r="F1230" s="3" t="s">
        <v>296</v>
      </c>
      <c r="G1230" s="3" t="str">
        <f>"00248553"</f>
        <v>00248553</v>
      </c>
    </row>
    <row r="1231" spans="1:7" x14ac:dyDescent="0.25">
      <c r="A1231" s="2">
        <v>1230</v>
      </c>
      <c r="B1231" s="3">
        <v>8730</v>
      </c>
      <c r="C1231" s="5" t="s">
        <v>4599</v>
      </c>
      <c r="D1231" s="5" t="s">
        <v>776</v>
      </c>
      <c r="E1231" s="5" t="s">
        <v>63</v>
      </c>
      <c r="F1231" s="3" t="s">
        <v>4600</v>
      </c>
      <c r="G1231" s="3" t="str">
        <f>"00759173"</f>
        <v>00759173</v>
      </c>
    </row>
    <row r="1232" spans="1:7" x14ac:dyDescent="0.25">
      <c r="A1232" s="2">
        <v>1231</v>
      </c>
      <c r="B1232" s="3">
        <v>206</v>
      </c>
      <c r="C1232" s="5" t="s">
        <v>4037</v>
      </c>
      <c r="D1232" s="5" t="s">
        <v>773</v>
      </c>
      <c r="E1232" s="5" t="s">
        <v>4896</v>
      </c>
      <c r="F1232" s="3" t="s">
        <v>4038</v>
      </c>
      <c r="G1232" s="3" t="str">
        <f>"00971562"</f>
        <v>00971562</v>
      </c>
    </row>
    <row r="1233" spans="1:7" x14ac:dyDescent="0.25">
      <c r="A1233" s="2">
        <v>1232</v>
      </c>
      <c r="B1233" s="3">
        <v>11470</v>
      </c>
      <c r="C1233" s="5" t="s">
        <v>3254</v>
      </c>
      <c r="D1233" s="5" t="s">
        <v>99</v>
      </c>
      <c r="E1233" s="5" t="s">
        <v>4835</v>
      </c>
      <c r="F1233" s="3" t="s">
        <v>3255</v>
      </c>
      <c r="G1233" s="3" t="str">
        <f>"00826373"</f>
        <v>00826373</v>
      </c>
    </row>
    <row r="1234" spans="1:7" x14ac:dyDescent="0.25">
      <c r="A1234" s="2">
        <v>1233</v>
      </c>
      <c r="B1234" s="3">
        <v>2001</v>
      </c>
      <c r="C1234" s="5" t="s">
        <v>1106</v>
      </c>
      <c r="D1234" s="5" t="s">
        <v>1105</v>
      </c>
      <c r="E1234" s="5" t="s">
        <v>44</v>
      </c>
      <c r="F1234" s="3">
        <v>7503593</v>
      </c>
      <c r="G1234" s="3" t="str">
        <f>"01014543"</f>
        <v>01014543</v>
      </c>
    </row>
    <row r="1235" spans="1:7" x14ac:dyDescent="0.25">
      <c r="A1235" s="2">
        <v>1234</v>
      </c>
      <c r="B1235" s="3">
        <v>6095</v>
      </c>
      <c r="C1235" s="5" t="s">
        <v>482</v>
      </c>
      <c r="D1235" s="5" t="s">
        <v>481</v>
      </c>
      <c r="E1235" s="5" t="s">
        <v>44</v>
      </c>
      <c r="F1235" s="3" t="s">
        <v>483</v>
      </c>
      <c r="G1235" s="3" t="str">
        <f>"00986653"</f>
        <v>00986653</v>
      </c>
    </row>
    <row r="1236" spans="1:7" x14ac:dyDescent="0.25">
      <c r="A1236" s="2">
        <v>1235</v>
      </c>
      <c r="B1236" s="3">
        <v>5712</v>
      </c>
      <c r="C1236" s="5" t="s">
        <v>2044</v>
      </c>
      <c r="D1236" s="5" t="s">
        <v>126</v>
      </c>
      <c r="E1236" s="5" t="s">
        <v>667</v>
      </c>
      <c r="F1236" s="3" t="s">
        <v>2045</v>
      </c>
      <c r="G1236" s="3" t="str">
        <f>"00983645"</f>
        <v>00983645</v>
      </c>
    </row>
    <row r="1237" spans="1:7" x14ac:dyDescent="0.25">
      <c r="A1237" s="2">
        <v>1236</v>
      </c>
      <c r="B1237" s="3">
        <v>10599</v>
      </c>
      <c r="C1237" s="5" t="s">
        <v>2910</v>
      </c>
      <c r="D1237" s="5" t="s">
        <v>87</v>
      </c>
      <c r="E1237" s="5" t="s">
        <v>14</v>
      </c>
      <c r="F1237" s="3">
        <v>710396013</v>
      </c>
      <c r="G1237" s="3" t="str">
        <f>"01011888"</f>
        <v>01011888</v>
      </c>
    </row>
    <row r="1238" spans="1:7" x14ac:dyDescent="0.25">
      <c r="A1238" s="2">
        <v>1237</v>
      </c>
      <c r="B1238" s="3">
        <v>8308</v>
      </c>
      <c r="C1238" s="5" t="s">
        <v>4573</v>
      </c>
      <c r="D1238" s="5" t="s">
        <v>2326</v>
      </c>
      <c r="E1238" s="5" t="s">
        <v>622</v>
      </c>
      <c r="F1238" s="3" t="s">
        <v>4588</v>
      </c>
      <c r="G1238" s="3" t="str">
        <f>"00120342"</f>
        <v>00120342</v>
      </c>
    </row>
    <row r="1239" spans="1:7" x14ac:dyDescent="0.25">
      <c r="A1239" s="2">
        <v>1238</v>
      </c>
      <c r="B1239" s="3">
        <v>11258</v>
      </c>
      <c r="C1239" s="5" t="s">
        <v>4573</v>
      </c>
      <c r="D1239" s="5" t="s">
        <v>66</v>
      </c>
      <c r="E1239" s="5" t="s">
        <v>532</v>
      </c>
      <c r="F1239" s="3" t="s">
        <v>4574</v>
      </c>
      <c r="G1239" s="3" t="str">
        <f>"01017933"</f>
        <v>01017933</v>
      </c>
    </row>
    <row r="1240" spans="1:7" x14ac:dyDescent="0.25">
      <c r="A1240" s="2">
        <v>1239</v>
      </c>
      <c r="B1240" s="3">
        <v>1856</v>
      </c>
      <c r="C1240" s="5" t="s">
        <v>180</v>
      </c>
      <c r="D1240" s="5" t="s">
        <v>11</v>
      </c>
      <c r="E1240" s="5" t="s">
        <v>129</v>
      </c>
      <c r="F1240" s="3" t="s">
        <v>181</v>
      </c>
      <c r="G1240" s="3" t="str">
        <f>"00981803"</f>
        <v>00981803</v>
      </c>
    </row>
    <row r="1241" spans="1:7" x14ac:dyDescent="0.25">
      <c r="A1241" s="2">
        <v>1240</v>
      </c>
      <c r="B1241" s="3">
        <v>11988</v>
      </c>
      <c r="C1241" s="5" t="s">
        <v>1144</v>
      </c>
      <c r="D1241" s="5" t="s">
        <v>284</v>
      </c>
      <c r="E1241" s="5" t="s">
        <v>14</v>
      </c>
      <c r="F1241" s="3" t="s">
        <v>1145</v>
      </c>
      <c r="G1241" s="3" t="str">
        <f>"201511006374"</f>
        <v>201511006374</v>
      </c>
    </row>
    <row r="1242" spans="1:7" x14ac:dyDescent="0.25">
      <c r="A1242" s="2">
        <v>1241</v>
      </c>
      <c r="B1242" s="3">
        <v>8742</v>
      </c>
      <c r="C1242" s="5" t="s">
        <v>1047</v>
      </c>
      <c r="D1242" s="5" t="s">
        <v>1046</v>
      </c>
      <c r="E1242" s="5" t="s">
        <v>382</v>
      </c>
      <c r="F1242" s="3" t="s">
        <v>1048</v>
      </c>
      <c r="G1242" s="3" t="str">
        <f>"201411001087"</f>
        <v>201411001087</v>
      </c>
    </row>
    <row r="1243" spans="1:7" x14ac:dyDescent="0.25">
      <c r="A1243" s="2">
        <v>1242</v>
      </c>
      <c r="B1243" s="3">
        <v>8650</v>
      </c>
      <c r="C1243" s="5" t="s">
        <v>2933</v>
      </c>
      <c r="D1243" s="5" t="s">
        <v>609</v>
      </c>
      <c r="E1243" s="5" t="s">
        <v>4867</v>
      </c>
      <c r="F1243" s="3" t="s">
        <v>2934</v>
      </c>
      <c r="G1243" s="3" t="str">
        <f>"201602000262"</f>
        <v>201602000262</v>
      </c>
    </row>
    <row r="1244" spans="1:7" x14ac:dyDescent="0.25">
      <c r="A1244" s="2">
        <v>1243</v>
      </c>
      <c r="B1244" s="3">
        <v>10366</v>
      </c>
      <c r="C1244" s="5" t="s">
        <v>2001</v>
      </c>
      <c r="D1244" s="5" t="s">
        <v>24</v>
      </c>
      <c r="E1244" s="5" t="s">
        <v>44</v>
      </c>
      <c r="F1244" s="3" t="s">
        <v>2002</v>
      </c>
      <c r="G1244" s="3" t="str">
        <f>"01015139"</f>
        <v>01015139</v>
      </c>
    </row>
    <row r="1245" spans="1:7" x14ac:dyDescent="0.25">
      <c r="A1245" s="2">
        <v>1244</v>
      </c>
      <c r="B1245" s="3">
        <v>3460</v>
      </c>
      <c r="C1245" s="5" t="s">
        <v>4731</v>
      </c>
      <c r="D1245" s="5" t="s">
        <v>416</v>
      </c>
      <c r="E1245" s="5" t="s">
        <v>4920</v>
      </c>
      <c r="F1245" s="3" t="s">
        <v>4732</v>
      </c>
      <c r="G1245" s="3" t="str">
        <f>"00982286"</f>
        <v>00982286</v>
      </c>
    </row>
    <row r="1246" spans="1:7" x14ac:dyDescent="0.25">
      <c r="A1246" s="2">
        <v>1245</v>
      </c>
      <c r="B1246" s="3">
        <v>10908</v>
      </c>
      <c r="C1246" s="5" t="s">
        <v>1068</v>
      </c>
      <c r="D1246" s="5" t="s">
        <v>619</v>
      </c>
      <c r="E1246" s="5" t="s">
        <v>63</v>
      </c>
      <c r="F1246" s="3" t="s">
        <v>1069</v>
      </c>
      <c r="G1246" s="3" t="str">
        <f>"00926377"</f>
        <v>00926377</v>
      </c>
    </row>
    <row r="1247" spans="1:7" x14ac:dyDescent="0.25">
      <c r="A1247" s="2">
        <v>1246</v>
      </c>
      <c r="B1247" s="3">
        <v>9992</v>
      </c>
      <c r="C1247" s="5" t="s">
        <v>4741</v>
      </c>
      <c r="D1247" s="5" t="s">
        <v>721</v>
      </c>
      <c r="E1247" s="5" t="s">
        <v>2076</v>
      </c>
      <c r="F1247" s="3" t="s">
        <v>4742</v>
      </c>
      <c r="G1247" s="3" t="str">
        <f>"01014800"</f>
        <v>01014800</v>
      </c>
    </row>
    <row r="1248" spans="1:7" x14ac:dyDescent="0.25">
      <c r="A1248" s="2">
        <v>1247</v>
      </c>
      <c r="B1248" s="3">
        <v>10583</v>
      </c>
      <c r="C1248" s="5" t="s">
        <v>3999</v>
      </c>
      <c r="D1248" s="5" t="s">
        <v>44</v>
      </c>
      <c r="E1248" s="5" t="s">
        <v>327</v>
      </c>
      <c r="F1248" s="3" t="s">
        <v>4000</v>
      </c>
      <c r="G1248" s="3" t="str">
        <f>"00931478"</f>
        <v>00931478</v>
      </c>
    </row>
    <row r="1249" spans="1:7" x14ac:dyDescent="0.25">
      <c r="A1249" s="2">
        <v>1248</v>
      </c>
      <c r="B1249" s="3">
        <v>12214</v>
      </c>
      <c r="C1249" s="5" t="s">
        <v>903</v>
      </c>
      <c r="D1249" s="5" t="s">
        <v>198</v>
      </c>
      <c r="E1249" s="5" t="s">
        <v>609</v>
      </c>
      <c r="F1249" s="3" t="s">
        <v>904</v>
      </c>
      <c r="G1249" s="3" t="str">
        <f>"00979449"</f>
        <v>00979449</v>
      </c>
    </row>
    <row r="1250" spans="1:7" x14ac:dyDescent="0.25">
      <c r="A1250" s="2">
        <v>1249</v>
      </c>
      <c r="B1250" s="3">
        <v>11609</v>
      </c>
      <c r="C1250" s="5" t="s">
        <v>2416</v>
      </c>
      <c r="D1250" s="5" t="s">
        <v>32</v>
      </c>
      <c r="E1250" s="5" t="s">
        <v>44</v>
      </c>
      <c r="F1250" s="3" t="s">
        <v>2417</v>
      </c>
      <c r="G1250" s="3" t="str">
        <f>"00907277"</f>
        <v>00907277</v>
      </c>
    </row>
    <row r="1251" spans="1:7" x14ac:dyDescent="0.25">
      <c r="A1251" s="2">
        <v>1250</v>
      </c>
      <c r="B1251" s="3">
        <v>12720</v>
      </c>
      <c r="C1251" s="5" t="s">
        <v>4011</v>
      </c>
      <c r="D1251" s="5" t="s">
        <v>284</v>
      </c>
      <c r="E1251" s="5" t="s">
        <v>14</v>
      </c>
      <c r="F1251" s="3" t="s">
        <v>4012</v>
      </c>
      <c r="G1251" s="3" t="str">
        <f>"01014056"</f>
        <v>01014056</v>
      </c>
    </row>
    <row r="1252" spans="1:7" x14ac:dyDescent="0.25">
      <c r="A1252" s="2">
        <v>1251</v>
      </c>
      <c r="B1252" s="3">
        <v>5056</v>
      </c>
      <c r="C1252" s="5" t="s">
        <v>1376</v>
      </c>
      <c r="D1252" s="5" t="s">
        <v>11</v>
      </c>
      <c r="E1252" s="5" t="s">
        <v>87</v>
      </c>
      <c r="F1252" s="3" t="s">
        <v>1377</v>
      </c>
      <c r="G1252" s="3" t="str">
        <f>"00980645"</f>
        <v>00980645</v>
      </c>
    </row>
    <row r="1253" spans="1:7" x14ac:dyDescent="0.25">
      <c r="A1253" s="2">
        <v>1252</v>
      </c>
      <c r="B1253" s="3">
        <v>7734</v>
      </c>
      <c r="C1253" s="5" t="s">
        <v>1376</v>
      </c>
      <c r="D1253" s="5" t="s">
        <v>129</v>
      </c>
      <c r="E1253" s="5" t="s">
        <v>14</v>
      </c>
      <c r="F1253" s="3" t="s">
        <v>2959</v>
      </c>
      <c r="G1253" s="3" t="str">
        <f>"00373136"</f>
        <v>00373136</v>
      </c>
    </row>
    <row r="1254" spans="1:7" x14ac:dyDescent="0.25">
      <c r="A1254" s="2">
        <v>1253</v>
      </c>
      <c r="B1254" s="3">
        <v>9161</v>
      </c>
      <c r="C1254" s="5" t="s">
        <v>863</v>
      </c>
      <c r="D1254" s="5" t="s">
        <v>159</v>
      </c>
      <c r="E1254" s="5" t="s">
        <v>14</v>
      </c>
      <c r="F1254" s="3" t="s">
        <v>864</v>
      </c>
      <c r="G1254" s="3" t="str">
        <f>"00447739"</f>
        <v>00447739</v>
      </c>
    </row>
    <row r="1255" spans="1:7" x14ac:dyDescent="0.25">
      <c r="A1255" s="2">
        <v>1254</v>
      </c>
      <c r="B1255" s="3">
        <v>8599</v>
      </c>
      <c r="C1255" s="5" t="s">
        <v>3877</v>
      </c>
      <c r="D1255" s="5" t="s">
        <v>773</v>
      </c>
      <c r="E1255" s="5" t="s">
        <v>4893</v>
      </c>
      <c r="F1255" s="3" t="s">
        <v>3878</v>
      </c>
      <c r="G1255" s="3" t="str">
        <f>"00980929"</f>
        <v>00980929</v>
      </c>
    </row>
    <row r="1256" spans="1:7" x14ac:dyDescent="0.25">
      <c r="A1256" s="2">
        <v>1255</v>
      </c>
      <c r="B1256" s="3">
        <v>2535</v>
      </c>
      <c r="C1256" s="5" t="s">
        <v>2624</v>
      </c>
      <c r="D1256" s="5" t="s">
        <v>11</v>
      </c>
      <c r="E1256" s="5" t="s">
        <v>4810</v>
      </c>
      <c r="F1256" s="3" t="s">
        <v>2625</v>
      </c>
      <c r="G1256" s="3" t="str">
        <f>"00650311"</f>
        <v>00650311</v>
      </c>
    </row>
    <row r="1257" spans="1:7" x14ac:dyDescent="0.25">
      <c r="A1257" s="2">
        <v>1256</v>
      </c>
      <c r="B1257" s="3">
        <v>4823</v>
      </c>
      <c r="C1257" s="5" t="s">
        <v>1155</v>
      </c>
      <c r="D1257" s="5" t="s">
        <v>52</v>
      </c>
      <c r="E1257" s="5" t="s">
        <v>1172</v>
      </c>
      <c r="F1257" s="3" t="s">
        <v>1156</v>
      </c>
      <c r="G1257" s="3" t="str">
        <f>"00816344"</f>
        <v>00816344</v>
      </c>
    </row>
    <row r="1258" spans="1:7" x14ac:dyDescent="0.25">
      <c r="A1258" s="2">
        <v>1257</v>
      </c>
      <c r="B1258" s="3">
        <v>6176</v>
      </c>
      <c r="C1258" s="5" t="s">
        <v>1848</v>
      </c>
      <c r="D1258" s="5" t="s">
        <v>1847</v>
      </c>
      <c r="E1258" s="5" t="s">
        <v>5</v>
      </c>
      <c r="F1258" s="3" t="s">
        <v>1849</v>
      </c>
      <c r="G1258" s="3" t="str">
        <f>"00484322"</f>
        <v>00484322</v>
      </c>
    </row>
    <row r="1259" spans="1:7" x14ac:dyDescent="0.25">
      <c r="A1259" s="2">
        <v>1258</v>
      </c>
      <c r="B1259" s="3">
        <v>7981</v>
      </c>
      <c r="C1259" s="5" t="s">
        <v>3401</v>
      </c>
      <c r="D1259" s="5" t="s">
        <v>3400</v>
      </c>
      <c r="E1259" s="5" t="s">
        <v>14</v>
      </c>
      <c r="F1259" s="3" t="s">
        <v>3402</v>
      </c>
      <c r="G1259" s="3" t="str">
        <f>"00849900"</f>
        <v>00849900</v>
      </c>
    </row>
    <row r="1260" spans="1:7" x14ac:dyDescent="0.25">
      <c r="A1260" s="2">
        <v>1259</v>
      </c>
      <c r="B1260" s="3">
        <v>1743</v>
      </c>
      <c r="C1260" s="5" t="s">
        <v>3464</v>
      </c>
      <c r="D1260" s="5" t="s">
        <v>11</v>
      </c>
      <c r="E1260" s="5" t="s">
        <v>44</v>
      </c>
      <c r="F1260" s="3" t="s">
        <v>3465</v>
      </c>
      <c r="G1260" s="3" t="str">
        <f>"00724932"</f>
        <v>00724932</v>
      </c>
    </row>
    <row r="1261" spans="1:7" x14ac:dyDescent="0.25">
      <c r="A1261" s="2">
        <v>1260</v>
      </c>
      <c r="B1261" s="3">
        <v>1616</v>
      </c>
      <c r="C1261" s="5" t="s">
        <v>571</v>
      </c>
      <c r="D1261" s="5" t="s">
        <v>14</v>
      </c>
      <c r="E1261" s="5" t="s">
        <v>1607</v>
      </c>
      <c r="F1261" s="3" t="s">
        <v>572</v>
      </c>
      <c r="G1261" s="3" t="str">
        <f>"01003788"</f>
        <v>01003788</v>
      </c>
    </row>
    <row r="1262" spans="1:7" x14ac:dyDescent="0.25">
      <c r="A1262" s="2">
        <v>1261</v>
      </c>
      <c r="B1262" s="3">
        <v>4278</v>
      </c>
      <c r="C1262" s="5" t="s">
        <v>2202</v>
      </c>
      <c r="D1262" s="5" t="s">
        <v>102</v>
      </c>
      <c r="E1262" s="5" t="s">
        <v>87</v>
      </c>
      <c r="F1262" s="3" t="s">
        <v>2203</v>
      </c>
      <c r="G1262" s="3" t="str">
        <f>"00980125"</f>
        <v>00980125</v>
      </c>
    </row>
    <row r="1263" spans="1:7" x14ac:dyDescent="0.25">
      <c r="A1263" s="2">
        <v>1262</v>
      </c>
      <c r="B1263" s="3">
        <v>11834</v>
      </c>
      <c r="C1263" s="5" t="s">
        <v>3935</v>
      </c>
      <c r="D1263" s="5" t="s">
        <v>113</v>
      </c>
      <c r="E1263" s="5" t="s">
        <v>1152</v>
      </c>
      <c r="F1263" s="3" t="s">
        <v>3936</v>
      </c>
      <c r="G1263" s="3" t="str">
        <f>"01017063"</f>
        <v>01017063</v>
      </c>
    </row>
    <row r="1264" spans="1:7" x14ac:dyDescent="0.25">
      <c r="A1264" s="2">
        <v>1263</v>
      </c>
      <c r="B1264" s="3">
        <v>6382</v>
      </c>
      <c r="C1264" s="5" t="s">
        <v>890</v>
      </c>
      <c r="D1264" s="5" t="s">
        <v>44</v>
      </c>
      <c r="E1264" s="5" t="s">
        <v>82</v>
      </c>
      <c r="F1264" s="3" t="s">
        <v>891</v>
      </c>
      <c r="G1264" s="3" t="str">
        <f>"00016290"</f>
        <v>00016290</v>
      </c>
    </row>
    <row r="1265" spans="1:7" x14ac:dyDescent="0.25">
      <c r="A1265" s="2">
        <v>1264</v>
      </c>
      <c r="B1265" s="3">
        <v>1669</v>
      </c>
      <c r="C1265" s="5" t="s">
        <v>353</v>
      </c>
      <c r="D1265" s="5" t="s">
        <v>352</v>
      </c>
      <c r="E1265" s="5" t="s">
        <v>1336</v>
      </c>
      <c r="F1265" s="3" t="s">
        <v>354</v>
      </c>
      <c r="G1265" s="3" t="str">
        <f>"00925920"</f>
        <v>00925920</v>
      </c>
    </row>
    <row r="1266" spans="1:7" x14ac:dyDescent="0.25">
      <c r="A1266" s="2">
        <v>1265</v>
      </c>
      <c r="B1266" s="3">
        <v>12798</v>
      </c>
      <c r="C1266" s="5" t="s">
        <v>1812</v>
      </c>
      <c r="D1266" s="5" t="s">
        <v>87</v>
      </c>
      <c r="E1266" s="5" t="s">
        <v>87</v>
      </c>
      <c r="F1266" s="3" t="s">
        <v>1813</v>
      </c>
      <c r="G1266" s="3" t="str">
        <f>"00576882"</f>
        <v>00576882</v>
      </c>
    </row>
    <row r="1267" spans="1:7" x14ac:dyDescent="0.25">
      <c r="A1267" s="2">
        <v>1266</v>
      </c>
      <c r="B1267" s="3">
        <v>8833</v>
      </c>
      <c r="C1267" s="5" t="s">
        <v>3567</v>
      </c>
      <c r="D1267" s="5" t="s">
        <v>66</v>
      </c>
      <c r="E1267" s="5" t="s">
        <v>760</v>
      </c>
      <c r="F1267" s="3" t="s">
        <v>3568</v>
      </c>
      <c r="G1267" s="3" t="str">
        <f>"00957665"</f>
        <v>00957665</v>
      </c>
    </row>
    <row r="1268" spans="1:7" x14ac:dyDescent="0.25">
      <c r="A1268" s="2">
        <v>1267</v>
      </c>
      <c r="B1268" s="3">
        <v>3926</v>
      </c>
      <c r="C1268" s="5" t="s">
        <v>610</v>
      </c>
      <c r="D1268" s="5" t="s">
        <v>609</v>
      </c>
      <c r="E1268" s="5" t="s">
        <v>214</v>
      </c>
      <c r="F1268" s="3" t="s">
        <v>611</v>
      </c>
      <c r="G1268" s="3" t="str">
        <f>"00984784"</f>
        <v>00984784</v>
      </c>
    </row>
    <row r="1269" spans="1:7" x14ac:dyDescent="0.25">
      <c r="A1269" s="2">
        <v>1268</v>
      </c>
      <c r="B1269" s="3">
        <v>9014</v>
      </c>
      <c r="C1269" s="5" t="s">
        <v>2783</v>
      </c>
      <c r="D1269" s="5" t="s">
        <v>107</v>
      </c>
      <c r="E1269" s="5" t="s">
        <v>4828</v>
      </c>
      <c r="F1269" s="3" t="s">
        <v>2784</v>
      </c>
      <c r="G1269" s="3" t="str">
        <f>"00023794"</f>
        <v>00023794</v>
      </c>
    </row>
    <row r="1270" spans="1:7" x14ac:dyDescent="0.25">
      <c r="A1270" s="2">
        <v>1269</v>
      </c>
      <c r="B1270" s="3">
        <v>2547</v>
      </c>
      <c r="C1270" s="5" t="s">
        <v>3268</v>
      </c>
      <c r="D1270" s="5" t="s">
        <v>113</v>
      </c>
      <c r="E1270" s="5" t="s">
        <v>87</v>
      </c>
      <c r="F1270" s="3" t="s">
        <v>3269</v>
      </c>
      <c r="G1270" s="3" t="str">
        <f>"201511014994"</f>
        <v>201511014994</v>
      </c>
    </row>
    <row r="1271" spans="1:7" x14ac:dyDescent="0.25">
      <c r="A1271" s="2">
        <v>1270</v>
      </c>
      <c r="B1271" s="3">
        <v>4231</v>
      </c>
      <c r="C1271" s="5" t="s">
        <v>2899</v>
      </c>
      <c r="D1271" s="5" t="s">
        <v>11</v>
      </c>
      <c r="E1271" s="5" t="s">
        <v>5</v>
      </c>
      <c r="F1271" s="3" t="s">
        <v>2900</v>
      </c>
      <c r="G1271" s="3" t="str">
        <f>"00791922"</f>
        <v>00791922</v>
      </c>
    </row>
    <row r="1272" spans="1:7" x14ac:dyDescent="0.25">
      <c r="A1272" s="2">
        <v>1271</v>
      </c>
      <c r="B1272" s="3">
        <v>11007</v>
      </c>
      <c r="C1272" s="5" t="s">
        <v>1393</v>
      </c>
      <c r="D1272" s="5" t="s">
        <v>1392</v>
      </c>
      <c r="E1272" s="5" t="s">
        <v>2655</v>
      </c>
      <c r="F1272" s="3" t="s">
        <v>1394</v>
      </c>
      <c r="G1272" s="3" t="str">
        <f>"01015404"</f>
        <v>01015404</v>
      </c>
    </row>
    <row r="1273" spans="1:7" x14ac:dyDescent="0.25">
      <c r="A1273" s="2">
        <v>1272</v>
      </c>
      <c r="B1273" s="3">
        <v>4015</v>
      </c>
      <c r="C1273" s="5" t="s">
        <v>4922</v>
      </c>
      <c r="D1273" s="5" t="s">
        <v>147</v>
      </c>
      <c r="E1273" s="5" t="s">
        <v>4786</v>
      </c>
      <c r="F1273" s="3" t="s">
        <v>148</v>
      </c>
      <c r="G1273" s="3" t="str">
        <f>"01010268"</f>
        <v>01010268</v>
      </c>
    </row>
    <row r="1274" spans="1:7" x14ac:dyDescent="0.25">
      <c r="A1274" s="2">
        <v>1273</v>
      </c>
      <c r="B1274" s="3">
        <v>9981</v>
      </c>
      <c r="C1274" s="5" t="s">
        <v>4774</v>
      </c>
      <c r="D1274" s="5" t="s">
        <v>52</v>
      </c>
      <c r="E1274" s="5" t="s">
        <v>844</v>
      </c>
      <c r="F1274" s="3" t="s">
        <v>4775</v>
      </c>
      <c r="G1274" s="3" t="str">
        <f>"01015777"</f>
        <v>01015777</v>
      </c>
    </row>
    <row r="1275" spans="1:7" x14ac:dyDescent="0.25">
      <c r="A1275" s="2">
        <v>1274</v>
      </c>
      <c r="B1275" s="3">
        <v>92</v>
      </c>
      <c r="C1275" s="5" t="s">
        <v>1916</v>
      </c>
      <c r="D1275" s="5" t="s">
        <v>87</v>
      </c>
      <c r="E1275" s="5" t="s">
        <v>32</v>
      </c>
      <c r="F1275" s="3">
        <v>710790016</v>
      </c>
      <c r="G1275" s="3" t="str">
        <f>"00334549"</f>
        <v>00334549</v>
      </c>
    </row>
    <row r="1276" spans="1:7" x14ac:dyDescent="0.25">
      <c r="A1276" s="2">
        <v>1275</v>
      </c>
      <c r="B1276" s="3">
        <v>6071</v>
      </c>
      <c r="C1276" s="5" t="s">
        <v>1916</v>
      </c>
      <c r="D1276" s="5" t="s">
        <v>52</v>
      </c>
      <c r="E1276" s="5" t="s">
        <v>252</v>
      </c>
      <c r="F1276" s="3">
        <v>2012832</v>
      </c>
      <c r="G1276" s="3" t="str">
        <f>"00985239"</f>
        <v>00985239</v>
      </c>
    </row>
    <row r="1277" spans="1:7" x14ac:dyDescent="0.25">
      <c r="A1277" s="2">
        <v>1276</v>
      </c>
      <c r="B1277" s="3">
        <v>11104</v>
      </c>
      <c r="C1277" s="5" t="s">
        <v>2186</v>
      </c>
      <c r="D1277" s="5" t="s">
        <v>184</v>
      </c>
      <c r="E1277" s="5" t="s">
        <v>113</v>
      </c>
      <c r="F1277" s="3" t="s">
        <v>2187</v>
      </c>
      <c r="G1277" s="3" t="str">
        <f>"00343909"</f>
        <v>00343909</v>
      </c>
    </row>
    <row r="1278" spans="1:7" x14ac:dyDescent="0.25">
      <c r="A1278" s="2">
        <v>1277</v>
      </c>
      <c r="B1278" s="3">
        <v>8456</v>
      </c>
      <c r="C1278" s="5" t="s">
        <v>3992</v>
      </c>
      <c r="D1278" s="5" t="s">
        <v>207</v>
      </c>
      <c r="E1278" s="5" t="s">
        <v>1023</v>
      </c>
      <c r="F1278" s="3" t="s">
        <v>3993</v>
      </c>
      <c r="G1278" s="3" t="str">
        <f>"01007040"</f>
        <v>01007040</v>
      </c>
    </row>
    <row r="1279" spans="1:7" x14ac:dyDescent="0.25">
      <c r="A1279" s="2">
        <v>1278</v>
      </c>
      <c r="B1279" s="3">
        <v>8329</v>
      </c>
      <c r="C1279" s="5" t="s">
        <v>9</v>
      </c>
      <c r="D1279" s="5" t="s">
        <v>8</v>
      </c>
      <c r="E1279" s="5" t="s">
        <v>87</v>
      </c>
      <c r="F1279" s="3" t="s">
        <v>10</v>
      </c>
      <c r="G1279" s="3" t="str">
        <f>"00184871"</f>
        <v>00184871</v>
      </c>
    </row>
    <row r="1280" spans="1:7" x14ac:dyDescent="0.25">
      <c r="A1280" s="2">
        <v>1279</v>
      </c>
      <c r="B1280" s="3">
        <v>2900</v>
      </c>
      <c r="C1280" s="5" t="s">
        <v>1301</v>
      </c>
      <c r="D1280" s="5" t="s">
        <v>167</v>
      </c>
      <c r="E1280" s="5" t="s">
        <v>705</v>
      </c>
      <c r="F1280" s="3" t="s">
        <v>1302</v>
      </c>
      <c r="G1280" s="3" t="str">
        <f>"00878093"</f>
        <v>00878093</v>
      </c>
    </row>
    <row r="1281" spans="1:7" x14ac:dyDescent="0.25">
      <c r="A1281" s="2">
        <v>1280</v>
      </c>
      <c r="B1281" s="3">
        <v>7148</v>
      </c>
      <c r="C1281" s="5" t="s">
        <v>4648</v>
      </c>
      <c r="D1281" s="5" t="s">
        <v>1194</v>
      </c>
      <c r="E1281" s="5" t="s">
        <v>284</v>
      </c>
      <c r="F1281" s="3" t="s">
        <v>4649</v>
      </c>
      <c r="G1281" s="3" t="str">
        <f>"00650120"</f>
        <v>00650120</v>
      </c>
    </row>
    <row r="1282" spans="1:7" x14ac:dyDescent="0.25">
      <c r="A1282" s="2">
        <v>1281</v>
      </c>
      <c r="B1282" s="3">
        <v>11619</v>
      </c>
      <c r="C1282" s="5" t="s">
        <v>1697</v>
      </c>
      <c r="D1282" s="5" t="s">
        <v>1639</v>
      </c>
      <c r="E1282" s="5" t="s">
        <v>545</v>
      </c>
      <c r="F1282" s="3" t="s">
        <v>1698</v>
      </c>
      <c r="G1282" s="3" t="str">
        <f>"00982113"</f>
        <v>00982113</v>
      </c>
    </row>
    <row r="1283" spans="1:7" x14ac:dyDescent="0.25">
      <c r="A1283" s="2">
        <v>1282</v>
      </c>
      <c r="B1283" s="3">
        <v>10766</v>
      </c>
      <c r="C1283" s="5" t="s">
        <v>1697</v>
      </c>
      <c r="D1283" s="5" t="s">
        <v>3591</v>
      </c>
      <c r="E1283" s="5" t="s">
        <v>44</v>
      </c>
      <c r="F1283" s="3" t="s">
        <v>3592</v>
      </c>
      <c r="G1283" s="3" t="str">
        <f>"00185463"</f>
        <v>00185463</v>
      </c>
    </row>
    <row r="1284" spans="1:7" x14ac:dyDescent="0.25">
      <c r="A1284" s="2">
        <v>1283</v>
      </c>
      <c r="B1284" s="3">
        <v>4977</v>
      </c>
      <c r="C1284" s="5" t="s">
        <v>2699</v>
      </c>
      <c r="D1284" s="5" t="s">
        <v>1199</v>
      </c>
      <c r="E1284" s="5" t="s">
        <v>1785</v>
      </c>
      <c r="F1284" s="3" t="s">
        <v>2700</v>
      </c>
      <c r="G1284" s="3" t="str">
        <f>"01016780"</f>
        <v>01016780</v>
      </c>
    </row>
    <row r="1285" spans="1:7" x14ac:dyDescent="0.25">
      <c r="A1285" s="2">
        <v>1284</v>
      </c>
      <c r="B1285" s="3">
        <v>6560</v>
      </c>
      <c r="C1285" s="5" t="s">
        <v>1341</v>
      </c>
      <c r="D1285" s="5" t="s">
        <v>11</v>
      </c>
      <c r="E1285" s="5" t="s">
        <v>14</v>
      </c>
      <c r="F1285" s="3" t="s">
        <v>1342</v>
      </c>
      <c r="G1285" s="3" t="str">
        <f>"01016298"</f>
        <v>01016298</v>
      </c>
    </row>
    <row r="1286" spans="1:7" x14ac:dyDescent="0.25">
      <c r="A1286" s="2">
        <v>1285</v>
      </c>
      <c r="B1286" s="3">
        <v>3624</v>
      </c>
      <c r="C1286" s="5" t="s">
        <v>3231</v>
      </c>
      <c r="D1286" s="5" t="s">
        <v>3693</v>
      </c>
      <c r="E1286" s="5" t="s">
        <v>4838</v>
      </c>
      <c r="F1286" s="3" t="s">
        <v>3694</v>
      </c>
      <c r="G1286" s="3" t="str">
        <f>"00158244"</f>
        <v>00158244</v>
      </c>
    </row>
    <row r="1287" spans="1:7" x14ac:dyDescent="0.25">
      <c r="A1287" s="2">
        <v>1286</v>
      </c>
      <c r="B1287" s="3">
        <v>5947</v>
      </c>
      <c r="C1287" s="5" t="s">
        <v>4509</v>
      </c>
      <c r="D1287" s="5" t="s">
        <v>41</v>
      </c>
      <c r="E1287" s="5" t="s">
        <v>94</v>
      </c>
      <c r="F1287" s="3" t="s">
        <v>4510</v>
      </c>
      <c r="G1287" s="3" t="str">
        <f>"01013260"</f>
        <v>01013260</v>
      </c>
    </row>
    <row r="1288" spans="1:7" x14ac:dyDescent="0.25">
      <c r="A1288" s="2">
        <v>1287</v>
      </c>
      <c r="B1288" s="3">
        <v>7174</v>
      </c>
      <c r="C1288" s="5" t="s">
        <v>1852</v>
      </c>
      <c r="D1288" s="5" t="s">
        <v>1432</v>
      </c>
      <c r="E1288" s="5" t="s">
        <v>11</v>
      </c>
      <c r="F1288" s="3" t="s">
        <v>1853</v>
      </c>
      <c r="G1288" s="3" t="str">
        <f>"00823463"</f>
        <v>00823463</v>
      </c>
    </row>
    <row r="1289" spans="1:7" x14ac:dyDescent="0.25">
      <c r="A1289" s="2">
        <v>1288</v>
      </c>
      <c r="B1289" s="3">
        <v>7072</v>
      </c>
      <c r="C1289" s="5" t="s">
        <v>2706</v>
      </c>
      <c r="D1289" s="5" t="s">
        <v>44</v>
      </c>
      <c r="E1289" s="5" t="s">
        <v>14</v>
      </c>
      <c r="F1289" s="3" t="s">
        <v>2707</v>
      </c>
      <c r="G1289" s="3" t="str">
        <f>"01011220"</f>
        <v>01011220</v>
      </c>
    </row>
    <row r="1290" spans="1:7" x14ac:dyDescent="0.25">
      <c r="A1290" s="2">
        <v>1289</v>
      </c>
      <c r="B1290" s="3">
        <v>8350</v>
      </c>
      <c r="C1290" s="5" t="s">
        <v>4119</v>
      </c>
      <c r="D1290" s="5" t="s">
        <v>5</v>
      </c>
      <c r="E1290" s="5" t="s">
        <v>545</v>
      </c>
      <c r="F1290" s="3" t="s">
        <v>4120</v>
      </c>
      <c r="G1290" s="3" t="str">
        <f>"00823002"</f>
        <v>00823002</v>
      </c>
    </row>
    <row r="1291" spans="1:7" x14ac:dyDescent="0.25">
      <c r="A1291" s="2">
        <v>1290</v>
      </c>
      <c r="B1291" s="3">
        <v>3463</v>
      </c>
      <c r="C1291" s="5" t="s">
        <v>2994</v>
      </c>
      <c r="D1291" s="5" t="s">
        <v>2993</v>
      </c>
      <c r="E1291" s="5" t="s">
        <v>11</v>
      </c>
      <c r="F1291" s="3" t="s">
        <v>2995</v>
      </c>
      <c r="G1291" s="3" t="str">
        <f>"00843480"</f>
        <v>00843480</v>
      </c>
    </row>
    <row r="1292" spans="1:7" x14ac:dyDescent="0.25">
      <c r="A1292" s="2">
        <v>1291</v>
      </c>
      <c r="B1292" s="3">
        <v>11637</v>
      </c>
      <c r="C1292" s="5" t="s">
        <v>936</v>
      </c>
      <c r="D1292" s="5" t="s">
        <v>935</v>
      </c>
      <c r="E1292" s="5" t="s">
        <v>32</v>
      </c>
      <c r="F1292" s="3" t="s">
        <v>937</v>
      </c>
      <c r="G1292" s="3" t="str">
        <f>"01002403"</f>
        <v>01002403</v>
      </c>
    </row>
    <row r="1293" spans="1:7" x14ac:dyDescent="0.25">
      <c r="A1293" s="2">
        <v>1292</v>
      </c>
      <c r="B1293" s="3">
        <v>8237</v>
      </c>
      <c r="C1293" s="5" t="s">
        <v>4022</v>
      </c>
      <c r="D1293" s="5" t="s">
        <v>66</v>
      </c>
      <c r="E1293" s="5" t="s">
        <v>11</v>
      </c>
      <c r="F1293" s="3" t="s">
        <v>4023</v>
      </c>
      <c r="G1293" s="3" t="str">
        <f>"00802844"</f>
        <v>00802844</v>
      </c>
    </row>
    <row r="1294" spans="1:7" x14ac:dyDescent="0.25">
      <c r="A1294" s="2">
        <v>1293</v>
      </c>
      <c r="B1294" s="3">
        <v>4585</v>
      </c>
      <c r="C1294" s="5" t="s">
        <v>64</v>
      </c>
      <c r="D1294" s="5" t="s">
        <v>63</v>
      </c>
      <c r="E1294" s="5" t="s">
        <v>52</v>
      </c>
      <c r="F1294" s="3" t="s">
        <v>65</v>
      </c>
      <c r="G1294" s="3" t="str">
        <f>"201507001785"</f>
        <v>201507001785</v>
      </c>
    </row>
    <row r="1295" spans="1:7" x14ac:dyDescent="0.25">
      <c r="A1295" s="2">
        <v>1294</v>
      </c>
      <c r="B1295" s="3">
        <v>6191</v>
      </c>
      <c r="C1295" s="5" t="s">
        <v>4185</v>
      </c>
      <c r="D1295" s="5" t="s">
        <v>4184</v>
      </c>
      <c r="E1295" s="5" t="s">
        <v>32</v>
      </c>
      <c r="F1295" s="3">
        <v>709515029</v>
      </c>
      <c r="G1295" s="3" t="str">
        <f>"00183857"</f>
        <v>00183857</v>
      </c>
    </row>
    <row r="1296" spans="1:7" x14ac:dyDescent="0.25">
      <c r="A1296" s="2">
        <v>1295</v>
      </c>
      <c r="B1296" s="3">
        <v>11498</v>
      </c>
      <c r="C1296" s="5" t="s">
        <v>4226</v>
      </c>
      <c r="D1296" s="5" t="s">
        <v>3334</v>
      </c>
      <c r="E1296" s="5" t="s">
        <v>44</v>
      </c>
      <c r="F1296" s="3" t="s">
        <v>4227</v>
      </c>
      <c r="G1296" s="3" t="str">
        <f>"00985729"</f>
        <v>00985729</v>
      </c>
    </row>
    <row r="1297" spans="1:7" x14ac:dyDescent="0.25">
      <c r="A1297" s="2">
        <v>1296</v>
      </c>
      <c r="B1297" s="3">
        <v>4451</v>
      </c>
      <c r="C1297" s="5" t="s">
        <v>2407</v>
      </c>
      <c r="D1297" s="5" t="s">
        <v>2406</v>
      </c>
      <c r="E1297" s="5" t="s">
        <v>14</v>
      </c>
      <c r="F1297" s="3" t="s">
        <v>2408</v>
      </c>
      <c r="G1297" s="3" t="str">
        <f>"00817513"</f>
        <v>00817513</v>
      </c>
    </row>
    <row r="1298" spans="1:7" x14ac:dyDescent="0.25">
      <c r="A1298" s="2">
        <v>1297</v>
      </c>
      <c r="B1298" s="3">
        <v>12984</v>
      </c>
      <c r="C1298" s="5" t="s">
        <v>63</v>
      </c>
      <c r="D1298" s="5" t="s">
        <v>5</v>
      </c>
      <c r="E1298" s="5" t="s">
        <v>4894</v>
      </c>
      <c r="F1298" s="3" t="s">
        <v>3984</v>
      </c>
      <c r="G1298" s="3" t="str">
        <f>"00818033"</f>
        <v>00818033</v>
      </c>
    </row>
    <row r="1299" spans="1:7" x14ac:dyDescent="0.25">
      <c r="A1299" s="2">
        <v>1298</v>
      </c>
      <c r="B1299" s="3">
        <v>3447</v>
      </c>
      <c r="C1299" s="5" t="s">
        <v>2287</v>
      </c>
      <c r="D1299" s="5" t="s">
        <v>773</v>
      </c>
      <c r="E1299" s="5" t="s">
        <v>11</v>
      </c>
      <c r="F1299" s="3" t="s">
        <v>2288</v>
      </c>
      <c r="G1299" s="3" t="str">
        <f>"00580658"</f>
        <v>00580658</v>
      </c>
    </row>
    <row r="1300" spans="1:7" x14ac:dyDescent="0.25">
      <c r="A1300" s="2">
        <v>1299</v>
      </c>
      <c r="B1300" s="3">
        <v>7473</v>
      </c>
      <c r="C1300" s="5" t="s">
        <v>401</v>
      </c>
      <c r="D1300" s="5" t="s">
        <v>135</v>
      </c>
      <c r="E1300" s="5" t="s">
        <v>35</v>
      </c>
      <c r="F1300" s="3" t="s">
        <v>3070</v>
      </c>
      <c r="G1300" s="3" t="str">
        <f>"201406009694"</f>
        <v>201406009694</v>
      </c>
    </row>
    <row r="1301" spans="1:7" x14ac:dyDescent="0.25">
      <c r="A1301" s="2">
        <v>1300</v>
      </c>
      <c r="B1301" s="3">
        <v>6402</v>
      </c>
      <c r="C1301" s="5" t="s">
        <v>401</v>
      </c>
      <c r="D1301" s="5" t="s">
        <v>263</v>
      </c>
      <c r="E1301" s="5" t="s">
        <v>32</v>
      </c>
      <c r="F1301" s="3" t="s">
        <v>402</v>
      </c>
      <c r="G1301" s="3" t="str">
        <f>"00893504"</f>
        <v>00893504</v>
      </c>
    </row>
    <row r="1302" spans="1:7" x14ac:dyDescent="0.25">
      <c r="A1302" s="2">
        <v>1301</v>
      </c>
      <c r="B1302" s="3">
        <v>11228</v>
      </c>
      <c r="C1302" s="5" t="s">
        <v>401</v>
      </c>
      <c r="D1302" s="5" t="s">
        <v>14</v>
      </c>
      <c r="E1302" s="5" t="s">
        <v>635</v>
      </c>
      <c r="F1302" s="3" t="s">
        <v>744</v>
      </c>
      <c r="G1302" s="3" t="str">
        <f>"01015475"</f>
        <v>01015475</v>
      </c>
    </row>
    <row r="1303" spans="1:7" x14ac:dyDescent="0.25">
      <c r="A1303" s="2">
        <v>1302</v>
      </c>
      <c r="B1303" s="3">
        <v>4137</v>
      </c>
      <c r="C1303" s="5" t="s">
        <v>2559</v>
      </c>
      <c r="D1303" s="5" t="s">
        <v>35</v>
      </c>
      <c r="E1303" s="5" t="s">
        <v>44</v>
      </c>
      <c r="F1303" s="3" t="s">
        <v>2560</v>
      </c>
      <c r="G1303" s="3" t="str">
        <f>"00019376"</f>
        <v>00019376</v>
      </c>
    </row>
    <row r="1304" spans="1:7" x14ac:dyDescent="0.25">
      <c r="A1304" s="2">
        <v>1303</v>
      </c>
      <c r="B1304" s="3">
        <v>1108</v>
      </c>
      <c r="C1304" s="5" t="s">
        <v>2824</v>
      </c>
      <c r="D1304" s="5" t="s">
        <v>2022</v>
      </c>
      <c r="E1304" s="5" t="s">
        <v>14</v>
      </c>
      <c r="F1304" s="3" t="s">
        <v>2825</v>
      </c>
      <c r="G1304" s="3" t="str">
        <f>"00962262"</f>
        <v>00962262</v>
      </c>
    </row>
    <row r="1305" spans="1:7" x14ac:dyDescent="0.25">
      <c r="A1305" s="2">
        <v>1304</v>
      </c>
      <c r="B1305" s="3">
        <v>11268</v>
      </c>
      <c r="C1305" s="5" t="s">
        <v>346</v>
      </c>
      <c r="D1305" s="5" t="s">
        <v>345</v>
      </c>
      <c r="E1305" s="5" t="s">
        <v>91</v>
      </c>
      <c r="F1305" s="3" t="s">
        <v>347</v>
      </c>
      <c r="G1305" s="3" t="str">
        <f>"01013738"</f>
        <v>01013738</v>
      </c>
    </row>
    <row r="1306" spans="1:7" x14ac:dyDescent="0.25">
      <c r="A1306" s="2">
        <v>1305</v>
      </c>
      <c r="B1306" s="3">
        <v>12241</v>
      </c>
      <c r="C1306" s="5" t="s">
        <v>2190</v>
      </c>
      <c r="D1306" s="5" t="s">
        <v>1070</v>
      </c>
      <c r="E1306" s="5" t="s">
        <v>14</v>
      </c>
      <c r="F1306" s="3" t="s">
        <v>2572</v>
      </c>
      <c r="G1306" s="3" t="str">
        <f>"00818464"</f>
        <v>00818464</v>
      </c>
    </row>
    <row r="1307" spans="1:7" x14ac:dyDescent="0.25">
      <c r="A1307" s="2">
        <v>1306</v>
      </c>
      <c r="B1307" s="3">
        <v>11943</v>
      </c>
      <c r="C1307" s="5" t="s">
        <v>2190</v>
      </c>
      <c r="D1307" s="5" t="s">
        <v>8</v>
      </c>
      <c r="E1307" s="5" t="s">
        <v>14</v>
      </c>
      <c r="F1307" s="3" t="s">
        <v>2191</v>
      </c>
      <c r="G1307" s="3" t="str">
        <f>"00450613"</f>
        <v>00450613</v>
      </c>
    </row>
    <row r="1308" spans="1:7" x14ac:dyDescent="0.25">
      <c r="A1308" s="2">
        <v>1307</v>
      </c>
      <c r="B1308" s="3">
        <v>5731</v>
      </c>
      <c r="C1308" s="5" t="s">
        <v>3489</v>
      </c>
      <c r="D1308" s="5" t="s">
        <v>3488</v>
      </c>
      <c r="E1308" s="5" t="s">
        <v>52</v>
      </c>
      <c r="F1308" s="3">
        <v>2013462</v>
      </c>
      <c r="G1308" s="3" t="str">
        <f>"00772200"</f>
        <v>00772200</v>
      </c>
    </row>
    <row r="1309" spans="1:7" x14ac:dyDescent="0.25">
      <c r="A1309" s="2">
        <v>1308</v>
      </c>
      <c r="B1309" s="3">
        <v>2064</v>
      </c>
      <c r="C1309" s="5" t="s">
        <v>2697</v>
      </c>
      <c r="D1309" s="5" t="s">
        <v>27</v>
      </c>
      <c r="E1309" s="5" t="s">
        <v>252</v>
      </c>
      <c r="F1309" s="3" t="s">
        <v>2698</v>
      </c>
      <c r="G1309" s="3" t="str">
        <f>"00452874"</f>
        <v>00452874</v>
      </c>
    </row>
    <row r="1310" spans="1:7" x14ac:dyDescent="0.25">
      <c r="A1310" s="2">
        <v>1309</v>
      </c>
      <c r="B1310" s="3">
        <v>9603</v>
      </c>
      <c r="C1310" s="5" t="s">
        <v>534</v>
      </c>
      <c r="D1310" s="5" t="s">
        <v>1152</v>
      </c>
      <c r="E1310" s="5" t="s">
        <v>94</v>
      </c>
      <c r="F1310" s="3" t="s">
        <v>4073</v>
      </c>
      <c r="G1310" s="3" t="str">
        <f>"00529059"</f>
        <v>00529059</v>
      </c>
    </row>
    <row r="1311" spans="1:7" x14ac:dyDescent="0.25">
      <c r="A1311" s="2">
        <v>1310</v>
      </c>
      <c r="B1311" s="3">
        <v>5916</v>
      </c>
      <c r="C1311" s="5" t="s">
        <v>924</v>
      </c>
      <c r="D1311" s="5" t="s">
        <v>207</v>
      </c>
      <c r="E1311" s="5" t="s">
        <v>588</v>
      </c>
      <c r="F1311" s="3" t="s">
        <v>925</v>
      </c>
      <c r="G1311" s="3" t="str">
        <f>"201511006044"</f>
        <v>201511006044</v>
      </c>
    </row>
    <row r="1312" spans="1:7" x14ac:dyDescent="0.25">
      <c r="A1312" s="2">
        <v>1311</v>
      </c>
      <c r="B1312" s="3">
        <v>3535</v>
      </c>
      <c r="C1312" s="5" t="s">
        <v>2996</v>
      </c>
      <c r="D1312" s="5" t="s">
        <v>198</v>
      </c>
      <c r="E1312" s="5" t="s">
        <v>129</v>
      </c>
      <c r="F1312" s="3" t="s">
        <v>2997</v>
      </c>
      <c r="G1312" s="3" t="str">
        <f>"00500302"</f>
        <v>00500302</v>
      </c>
    </row>
    <row r="1313" spans="1:7" x14ac:dyDescent="0.25">
      <c r="A1313" s="2">
        <v>1312</v>
      </c>
      <c r="B1313" s="3">
        <v>9133</v>
      </c>
      <c r="C1313" s="5" t="s">
        <v>2328</v>
      </c>
      <c r="D1313" s="5" t="s">
        <v>307</v>
      </c>
      <c r="E1313" s="5" t="s">
        <v>184</v>
      </c>
      <c r="F1313" s="3" t="s">
        <v>2329</v>
      </c>
      <c r="G1313" s="3" t="str">
        <f>"01013673"</f>
        <v>01013673</v>
      </c>
    </row>
    <row r="1314" spans="1:7" x14ac:dyDescent="0.25">
      <c r="A1314" s="2">
        <v>1313</v>
      </c>
      <c r="B1314" s="3">
        <v>1944</v>
      </c>
      <c r="C1314" s="5" t="s">
        <v>1316</v>
      </c>
      <c r="D1314" s="5" t="s">
        <v>32</v>
      </c>
      <c r="E1314" s="5" t="s">
        <v>52</v>
      </c>
      <c r="F1314" s="3" t="s">
        <v>1317</v>
      </c>
      <c r="G1314" s="3" t="str">
        <f>"201410007575"</f>
        <v>201410007575</v>
      </c>
    </row>
    <row r="1315" spans="1:7" x14ac:dyDescent="0.25">
      <c r="A1315" s="2">
        <v>1314</v>
      </c>
      <c r="B1315" s="3">
        <v>3286</v>
      </c>
      <c r="C1315" s="5" t="s">
        <v>1316</v>
      </c>
      <c r="D1315" s="5" t="s">
        <v>32</v>
      </c>
      <c r="E1315" s="5" t="s">
        <v>545</v>
      </c>
      <c r="F1315" s="3" t="s">
        <v>2058</v>
      </c>
      <c r="G1315" s="3" t="str">
        <f>"00818896"</f>
        <v>00818896</v>
      </c>
    </row>
    <row r="1316" spans="1:7" x14ac:dyDescent="0.25">
      <c r="A1316" s="2">
        <v>1315</v>
      </c>
      <c r="B1316" s="3">
        <v>6023</v>
      </c>
      <c r="C1316" s="5" t="s">
        <v>1316</v>
      </c>
      <c r="D1316" s="5" t="s">
        <v>4607</v>
      </c>
      <c r="E1316" s="5" t="s">
        <v>284</v>
      </c>
      <c r="F1316" s="3" t="s">
        <v>4608</v>
      </c>
      <c r="G1316" s="3" t="str">
        <f>"00985583"</f>
        <v>00985583</v>
      </c>
    </row>
    <row r="1317" spans="1:7" x14ac:dyDescent="0.25">
      <c r="A1317" s="2">
        <v>1316</v>
      </c>
      <c r="B1317" s="3">
        <v>7940</v>
      </c>
      <c r="C1317" s="5" t="s">
        <v>600</v>
      </c>
      <c r="D1317" s="5" t="s">
        <v>18</v>
      </c>
      <c r="E1317" s="5" t="s">
        <v>5</v>
      </c>
      <c r="F1317" s="3" t="s">
        <v>601</v>
      </c>
      <c r="G1317" s="3" t="str">
        <f>"201406007865"</f>
        <v>201406007865</v>
      </c>
    </row>
    <row r="1318" spans="1:7" x14ac:dyDescent="0.25">
      <c r="A1318" s="2">
        <v>1317</v>
      </c>
      <c r="B1318" s="3">
        <v>9419</v>
      </c>
      <c r="C1318" s="5" t="s">
        <v>1860</v>
      </c>
      <c r="D1318" s="5" t="s">
        <v>1839</v>
      </c>
      <c r="E1318" s="5" t="s">
        <v>27</v>
      </c>
      <c r="F1318" s="3" t="s">
        <v>1861</v>
      </c>
      <c r="G1318" s="3" t="str">
        <f>"00979276"</f>
        <v>00979276</v>
      </c>
    </row>
    <row r="1319" spans="1:7" x14ac:dyDescent="0.25">
      <c r="A1319" s="2">
        <v>1318</v>
      </c>
      <c r="B1319" s="3">
        <v>12746</v>
      </c>
      <c r="C1319" s="5" t="s">
        <v>3099</v>
      </c>
      <c r="D1319" s="5" t="s">
        <v>252</v>
      </c>
      <c r="E1319" s="5" t="s">
        <v>87</v>
      </c>
      <c r="F1319" s="3" t="s">
        <v>3100</v>
      </c>
      <c r="G1319" s="3" t="str">
        <f>"00998410"</f>
        <v>00998410</v>
      </c>
    </row>
    <row r="1320" spans="1:7" x14ac:dyDescent="0.25">
      <c r="A1320" s="2">
        <v>1319</v>
      </c>
      <c r="B1320" s="3">
        <v>11272</v>
      </c>
      <c r="C1320" s="5" t="s">
        <v>1007</v>
      </c>
      <c r="D1320" s="5" t="s">
        <v>32</v>
      </c>
      <c r="E1320" s="5" t="s">
        <v>2772</v>
      </c>
      <c r="F1320" s="3" t="s">
        <v>1008</v>
      </c>
      <c r="G1320" s="3" t="str">
        <f>"00787068"</f>
        <v>00787068</v>
      </c>
    </row>
    <row r="1321" spans="1:7" x14ac:dyDescent="0.25">
      <c r="A1321" s="2">
        <v>1320</v>
      </c>
      <c r="B1321" s="3">
        <v>8609</v>
      </c>
      <c r="C1321" s="5" t="s">
        <v>330</v>
      </c>
      <c r="D1321" s="5" t="s">
        <v>11</v>
      </c>
      <c r="E1321" s="5" t="s">
        <v>94</v>
      </c>
      <c r="F1321" s="3" t="s">
        <v>331</v>
      </c>
      <c r="G1321" s="3" t="str">
        <f>"00983948"</f>
        <v>00983948</v>
      </c>
    </row>
    <row r="1322" spans="1:7" x14ac:dyDescent="0.25">
      <c r="A1322" s="2">
        <v>1321</v>
      </c>
      <c r="B1322" s="3">
        <v>11293</v>
      </c>
      <c r="C1322" s="5" t="s">
        <v>1039</v>
      </c>
      <c r="D1322" s="5" t="s">
        <v>1038</v>
      </c>
      <c r="E1322" s="5" t="s">
        <v>284</v>
      </c>
      <c r="F1322" s="3" t="s">
        <v>1040</v>
      </c>
      <c r="G1322" s="3" t="str">
        <f>"01012951"</f>
        <v>01012951</v>
      </c>
    </row>
    <row r="1323" spans="1:7" x14ac:dyDescent="0.25">
      <c r="A1323" s="2">
        <v>1322</v>
      </c>
      <c r="B1323" s="3">
        <v>3266</v>
      </c>
      <c r="C1323" s="5" t="s">
        <v>1039</v>
      </c>
      <c r="D1323" s="5" t="s">
        <v>66</v>
      </c>
      <c r="E1323" s="5" t="s">
        <v>214</v>
      </c>
      <c r="F1323" s="3" t="s">
        <v>4560</v>
      </c>
      <c r="G1323" s="3" t="str">
        <f>"01016998"</f>
        <v>01016998</v>
      </c>
    </row>
    <row r="1324" spans="1:7" x14ac:dyDescent="0.25">
      <c r="A1324" s="2">
        <v>1323</v>
      </c>
      <c r="B1324" s="3">
        <v>12900</v>
      </c>
      <c r="C1324" s="5" t="s">
        <v>4259</v>
      </c>
      <c r="D1324" s="5" t="s">
        <v>184</v>
      </c>
      <c r="E1324" s="5" t="s">
        <v>545</v>
      </c>
      <c r="F1324" s="3" t="s">
        <v>4260</v>
      </c>
      <c r="G1324" s="3" t="str">
        <f>"00223633"</f>
        <v>00223633</v>
      </c>
    </row>
    <row r="1325" spans="1:7" x14ac:dyDescent="0.25">
      <c r="A1325" s="2">
        <v>1324</v>
      </c>
      <c r="B1325" s="3">
        <v>2000</v>
      </c>
      <c r="C1325" s="5" t="s">
        <v>4449</v>
      </c>
      <c r="D1325" s="5" t="s">
        <v>1839</v>
      </c>
      <c r="E1325" s="5" t="s">
        <v>184</v>
      </c>
      <c r="F1325" s="3" t="s">
        <v>4450</v>
      </c>
      <c r="G1325" s="3" t="str">
        <f>"00225415"</f>
        <v>00225415</v>
      </c>
    </row>
    <row r="1326" spans="1:7" x14ac:dyDescent="0.25">
      <c r="A1326" s="2">
        <v>1325</v>
      </c>
      <c r="B1326" s="3">
        <v>10444</v>
      </c>
      <c r="C1326" s="5" t="s">
        <v>4628</v>
      </c>
      <c r="D1326" s="5" t="s">
        <v>52</v>
      </c>
      <c r="E1326" s="5" t="s">
        <v>32</v>
      </c>
      <c r="F1326" s="3" t="s">
        <v>4629</v>
      </c>
      <c r="G1326" s="3" t="str">
        <f>"00359620"</f>
        <v>00359620</v>
      </c>
    </row>
    <row r="1327" spans="1:7" x14ac:dyDescent="0.25">
      <c r="A1327" s="2">
        <v>1326</v>
      </c>
      <c r="B1327" s="3">
        <v>1493</v>
      </c>
      <c r="C1327" s="5" t="s">
        <v>1501</v>
      </c>
      <c r="D1327" s="5" t="s">
        <v>1500</v>
      </c>
      <c r="E1327" s="5" t="s">
        <v>87</v>
      </c>
      <c r="F1327" s="3" t="s">
        <v>1502</v>
      </c>
      <c r="G1327" s="3" t="str">
        <f>"00984628"</f>
        <v>00984628</v>
      </c>
    </row>
    <row r="1328" spans="1:7" x14ac:dyDescent="0.25">
      <c r="A1328" s="2">
        <v>1327</v>
      </c>
      <c r="B1328" s="3">
        <v>10130</v>
      </c>
      <c r="C1328" s="5" t="s">
        <v>1060</v>
      </c>
      <c r="D1328" s="5" t="s">
        <v>129</v>
      </c>
      <c r="E1328" s="5" t="s">
        <v>1432</v>
      </c>
      <c r="F1328" s="3" t="s">
        <v>1061</v>
      </c>
      <c r="G1328" s="3" t="str">
        <f>"00313678"</f>
        <v>00313678</v>
      </c>
    </row>
    <row r="1329" spans="1:7" x14ac:dyDescent="0.25">
      <c r="A1329" s="2">
        <v>1328</v>
      </c>
      <c r="B1329" s="3">
        <v>6389</v>
      </c>
      <c r="C1329" s="5" t="s">
        <v>2955</v>
      </c>
      <c r="D1329" s="5" t="s">
        <v>129</v>
      </c>
      <c r="E1329" s="5" t="s">
        <v>44</v>
      </c>
      <c r="F1329" s="3" t="s">
        <v>2956</v>
      </c>
      <c r="G1329" s="3" t="str">
        <f>"00746615"</f>
        <v>00746615</v>
      </c>
    </row>
    <row r="1330" spans="1:7" x14ac:dyDescent="0.25">
      <c r="A1330" s="2">
        <v>1329</v>
      </c>
      <c r="B1330" s="3">
        <v>12981</v>
      </c>
      <c r="C1330" s="5" t="s">
        <v>3292</v>
      </c>
      <c r="D1330" s="5" t="s">
        <v>52</v>
      </c>
      <c r="E1330" s="5" t="s">
        <v>87</v>
      </c>
      <c r="F1330" s="3" t="s">
        <v>3534</v>
      </c>
      <c r="G1330" s="3" t="str">
        <f>"00984702"</f>
        <v>00984702</v>
      </c>
    </row>
    <row r="1331" spans="1:7" x14ac:dyDescent="0.25">
      <c r="A1331" s="2">
        <v>1330</v>
      </c>
      <c r="B1331" s="3">
        <v>961</v>
      </c>
      <c r="C1331" s="5" t="s">
        <v>3292</v>
      </c>
      <c r="D1331" s="5" t="s">
        <v>752</v>
      </c>
      <c r="E1331" s="5" t="s">
        <v>11</v>
      </c>
      <c r="F1331" s="3" t="s">
        <v>3293</v>
      </c>
      <c r="G1331" s="3" t="str">
        <f>"00899837"</f>
        <v>00899837</v>
      </c>
    </row>
    <row r="1332" spans="1:7" x14ac:dyDescent="0.25">
      <c r="A1332" s="2">
        <v>1331</v>
      </c>
      <c r="B1332" s="3">
        <v>6037</v>
      </c>
      <c r="C1332" s="5" t="s">
        <v>2352</v>
      </c>
      <c r="D1332" s="5" t="s">
        <v>162</v>
      </c>
      <c r="E1332" s="5" t="s">
        <v>4803</v>
      </c>
      <c r="F1332" s="3" t="s">
        <v>2353</v>
      </c>
      <c r="G1332" s="3" t="str">
        <f>"00636212"</f>
        <v>00636212</v>
      </c>
    </row>
    <row r="1333" spans="1:7" x14ac:dyDescent="0.25">
      <c r="A1333" s="2">
        <v>1332</v>
      </c>
      <c r="B1333" s="3">
        <v>7277</v>
      </c>
      <c r="C1333" s="5" t="s">
        <v>2663</v>
      </c>
      <c r="D1333" s="5" t="s">
        <v>1212</v>
      </c>
      <c r="E1333" s="5" t="s">
        <v>622</v>
      </c>
      <c r="F1333" s="3" t="s">
        <v>2664</v>
      </c>
      <c r="G1333" s="3" t="str">
        <f>"01017825"</f>
        <v>01017825</v>
      </c>
    </row>
    <row r="1334" spans="1:7" x14ac:dyDescent="0.25">
      <c r="A1334" s="2">
        <v>1333</v>
      </c>
      <c r="B1334" s="3">
        <v>12951</v>
      </c>
      <c r="C1334" s="5" t="s">
        <v>2917</v>
      </c>
      <c r="D1334" s="5" t="s">
        <v>44</v>
      </c>
      <c r="E1334" s="5" t="s">
        <v>14</v>
      </c>
      <c r="F1334" s="3" t="s">
        <v>2918</v>
      </c>
      <c r="G1334" s="3" t="str">
        <f>"00967097"</f>
        <v>00967097</v>
      </c>
    </row>
    <row r="1335" spans="1:7" x14ac:dyDescent="0.25">
      <c r="A1335" s="2">
        <v>1334</v>
      </c>
      <c r="B1335" s="3">
        <v>12582</v>
      </c>
      <c r="C1335" s="5" t="s">
        <v>4336</v>
      </c>
      <c r="D1335" s="5" t="s">
        <v>773</v>
      </c>
      <c r="E1335" s="5" t="s">
        <v>4906</v>
      </c>
      <c r="F1335" s="3" t="s">
        <v>4337</v>
      </c>
      <c r="G1335" s="3" t="str">
        <f>"00471669"</f>
        <v>00471669</v>
      </c>
    </row>
    <row r="1336" spans="1:7" x14ac:dyDescent="0.25">
      <c r="A1336" s="2">
        <v>1335</v>
      </c>
      <c r="B1336" s="3">
        <v>12103</v>
      </c>
      <c r="C1336" s="5" t="s">
        <v>3923</v>
      </c>
      <c r="D1336" s="5" t="s">
        <v>5</v>
      </c>
      <c r="E1336" s="5" t="s">
        <v>622</v>
      </c>
      <c r="F1336" s="3" t="s">
        <v>3924</v>
      </c>
      <c r="G1336" s="3" t="str">
        <f>"01008613"</f>
        <v>01008613</v>
      </c>
    </row>
    <row r="1337" spans="1:7" x14ac:dyDescent="0.25">
      <c r="A1337" s="2">
        <v>1336</v>
      </c>
      <c r="B1337" s="3">
        <v>5075</v>
      </c>
      <c r="C1337" s="5" t="s">
        <v>2218</v>
      </c>
      <c r="D1337" s="5" t="s">
        <v>44</v>
      </c>
      <c r="E1337" s="5" t="s">
        <v>14</v>
      </c>
      <c r="F1337" s="3" t="s">
        <v>2219</v>
      </c>
      <c r="G1337" s="3" t="str">
        <f>"00889395"</f>
        <v>00889395</v>
      </c>
    </row>
    <row r="1338" spans="1:7" x14ac:dyDescent="0.25">
      <c r="A1338" s="2">
        <v>1337</v>
      </c>
      <c r="B1338" s="3">
        <v>10205</v>
      </c>
      <c r="C1338" s="5" t="s">
        <v>225</v>
      </c>
      <c r="D1338" s="5" t="s">
        <v>87</v>
      </c>
      <c r="E1338" s="5" t="s">
        <v>11</v>
      </c>
      <c r="F1338" s="3" t="s">
        <v>226</v>
      </c>
      <c r="G1338" s="3" t="str">
        <f>"00934975"</f>
        <v>00934975</v>
      </c>
    </row>
    <row r="1339" spans="1:7" x14ac:dyDescent="0.25">
      <c r="A1339" s="2">
        <v>1338</v>
      </c>
      <c r="B1339" s="3">
        <v>928</v>
      </c>
      <c r="C1339" s="5" t="s">
        <v>2015</v>
      </c>
      <c r="D1339" s="5" t="s">
        <v>2014</v>
      </c>
      <c r="E1339" s="5" t="s">
        <v>184</v>
      </c>
      <c r="F1339" s="3" t="s">
        <v>2016</v>
      </c>
      <c r="G1339" s="3" t="str">
        <f>"00962057"</f>
        <v>00962057</v>
      </c>
    </row>
    <row r="1340" spans="1:7" x14ac:dyDescent="0.25">
      <c r="A1340" s="2">
        <v>1339</v>
      </c>
      <c r="B1340" s="3">
        <v>11140</v>
      </c>
      <c r="C1340" s="5" t="s">
        <v>692</v>
      </c>
      <c r="D1340" s="5" t="s">
        <v>32</v>
      </c>
      <c r="E1340" s="5" t="s">
        <v>14</v>
      </c>
      <c r="F1340" s="3" t="s">
        <v>693</v>
      </c>
      <c r="G1340" s="3" t="str">
        <f>"00979159"</f>
        <v>00979159</v>
      </c>
    </row>
    <row r="1341" spans="1:7" x14ac:dyDescent="0.25">
      <c r="A1341" s="2">
        <v>1340</v>
      </c>
      <c r="B1341" s="3">
        <v>2316</v>
      </c>
      <c r="C1341" s="5" t="s">
        <v>3538</v>
      </c>
      <c r="D1341" s="5" t="s">
        <v>87</v>
      </c>
      <c r="E1341" s="5" t="s">
        <v>11</v>
      </c>
      <c r="F1341" s="3" t="s">
        <v>3539</v>
      </c>
      <c r="G1341" s="3" t="str">
        <f>"00985731"</f>
        <v>00985731</v>
      </c>
    </row>
    <row r="1342" spans="1:7" x14ac:dyDescent="0.25">
      <c r="A1342" s="2">
        <v>1341</v>
      </c>
      <c r="B1342" s="3">
        <v>12161</v>
      </c>
      <c r="C1342" s="5" t="s">
        <v>663</v>
      </c>
      <c r="D1342" s="5" t="s">
        <v>66</v>
      </c>
      <c r="E1342" s="5" t="s">
        <v>63</v>
      </c>
      <c r="F1342" s="3" t="s">
        <v>664</v>
      </c>
      <c r="G1342" s="3" t="str">
        <f>"00104990"</f>
        <v>00104990</v>
      </c>
    </row>
    <row r="1343" spans="1:7" x14ac:dyDescent="0.25">
      <c r="A1343" s="2">
        <v>1342</v>
      </c>
      <c r="B1343" s="3">
        <v>2996</v>
      </c>
      <c r="C1343" s="5" t="s">
        <v>1319</v>
      </c>
      <c r="D1343" s="5" t="s">
        <v>1318</v>
      </c>
      <c r="E1343" s="5" t="s">
        <v>545</v>
      </c>
      <c r="F1343" s="3" t="s">
        <v>1320</v>
      </c>
      <c r="G1343" s="3" t="str">
        <f>"00984823"</f>
        <v>00984823</v>
      </c>
    </row>
    <row r="1344" spans="1:7" x14ac:dyDescent="0.25">
      <c r="A1344" s="2">
        <v>1343</v>
      </c>
      <c r="B1344" s="3">
        <v>10761</v>
      </c>
      <c r="C1344" s="5" t="s">
        <v>3636</v>
      </c>
      <c r="D1344" s="5" t="s">
        <v>102</v>
      </c>
      <c r="E1344" s="5" t="s">
        <v>44</v>
      </c>
      <c r="F1344" s="3" t="s">
        <v>3637</v>
      </c>
      <c r="G1344" s="3" t="str">
        <f>"00251233"</f>
        <v>00251233</v>
      </c>
    </row>
    <row r="1345" spans="1:7" x14ac:dyDescent="0.25">
      <c r="A1345" s="2">
        <v>1344</v>
      </c>
      <c r="B1345" s="3">
        <v>6226</v>
      </c>
      <c r="C1345" s="5" t="s">
        <v>2322</v>
      </c>
      <c r="D1345" s="5" t="s">
        <v>545</v>
      </c>
      <c r="E1345" s="5" t="s">
        <v>44</v>
      </c>
      <c r="F1345" s="3" t="s">
        <v>2323</v>
      </c>
      <c r="G1345" s="3" t="str">
        <f>"01015624"</f>
        <v>01015624</v>
      </c>
    </row>
    <row r="1346" spans="1:7" x14ac:dyDescent="0.25">
      <c r="A1346" s="2">
        <v>1345</v>
      </c>
      <c r="B1346" s="3">
        <v>11745</v>
      </c>
      <c r="C1346" s="5" t="s">
        <v>165</v>
      </c>
      <c r="D1346" s="5" t="s">
        <v>159</v>
      </c>
      <c r="E1346" s="5" t="s">
        <v>44</v>
      </c>
      <c r="F1346" s="3" t="s">
        <v>166</v>
      </c>
      <c r="G1346" s="3" t="str">
        <f>"201406008829"</f>
        <v>201406008829</v>
      </c>
    </row>
    <row r="1347" spans="1:7" x14ac:dyDescent="0.25">
      <c r="A1347" s="2">
        <v>1346</v>
      </c>
      <c r="B1347" s="3">
        <v>3991</v>
      </c>
      <c r="C1347" s="5" t="s">
        <v>3417</v>
      </c>
      <c r="D1347" s="5" t="s">
        <v>11</v>
      </c>
      <c r="E1347" s="5" t="s">
        <v>87</v>
      </c>
      <c r="F1347" s="3" t="s">
        <v>3418</v>
      </c>
      <c r="G1347" s="3" t="str">
        <f>"00544606"</f>
        <v>00544606</v>
      </c>
    </row>
    <row r="1348" spans="1:7" x14ac:dyDescent="0.25">
      <c r="A1348" s="2">
        <v>1347</v>
      </c>
      <c r="B1348" s="3">
        <v>5873</v>
      </c>
      <c r="C1348" s="5" t="s">
        <v>4379</v>
      </c>
      <c r="D1348" s="5" t="s">
        <v>4378</v>
      </c>
      <c r="E1348" s="5" t="s">
        <v>545</v>
      </c>
      <c r="F1348" s="3" t="s">
        <v>4380</v>
      </c>
      <c r="G1348" s="3" t="str">
        <f>"00844220"</f>
        <v>00844220</v>
      </c>
    </row>
    <row r="1349" spans="1:7" x14ac:dyDescent="0.25">
      <c r="A1349" s="2">
        <v>1348</v>
      </c>
      <c r="B1349" s="3">
        <v>418</v>
      </c>
      <c r="C1349" s="5" t="s">
        <v>1583</v>
      </c>
      <c r="D1349" s="5" t="s">
        <v>534</v>
      </c>
      <c r="E1349" s="5" t="s">
        <v>44</v>
      </c>
      <c r="F1349" s="3">
        <v>1065101</v>
      </c>
      <c r="G1349" s="3" t="str">
        <f>"01005710"</f>
        <v>01005710</v>
      </c>
    </row>
    <row r="1350" spans="1:7" x14ac:dyDescent="0.25">
      <c r="A1350" s="2">
        <v>1349</v>
      </c>
      <c r="B1350" s="3">
        <v>11079</v>
      </c>
      <c r="C1350" s="5" t="s">
        <v>3311</v>
      </c>
      <c r="D1350" s="5" t="s">
        <v>284</v>
      </c>
      <c r="E1350" s="5" t="s">
        <v>184</v>
      </c>
      <c r="F1350" s="3" t="s">
        <v>3312</v>
      </c>
      <c r="G1350" s="3" t="str">
        <f>"01016022"</f>
        <v>01016022</v>
      </c>
    </row>
    <row r="1351" spans="1:7" x14ac:dyDescent="0.25">
      <c r="A1351" s="2">
        <v>1350</v>
      </c>
      <c r="B1351" s="3">
        <v>5995</v>
      </c>
      <c r="C1351" s="5" t="s">
        <v>873</v>
      </c>
      <c r="D1351" s="5" t="s">
        <v>865</v>
      </c>
      <c r="E1351" s="5" t="s">
        <v>87</v>
      </c>
      <c r="F1351" s="3" t="s">
        <v>874</v>
      </c>
      <c r="G1351" s="3" t="str">
        <f>"00076837"</f>
        <v>00076837</v>
      </c>
    </row>
    <row r="1352" spans="1:7" x14ac:dyDescent="0.25">
      <c r="A1352" s="2">
        <v>1351</v>
      </c>
      <c r="B1352" s="3">
        <v>11289</v>
      </c>
      <c r="C1352" s="5" t="s">
        <v>3685</v>
      </c>
      <c r="D1352" s="5" t="s">
        <v>457</v>
      </c>
      <c r="E1352" s="5" t="s">
        <v>5</v>
      </c>
      <c r="F1352" s="3" t="s">
        <v>3686</v>
      </c>
      <c r="G1352" s="3" t="str">
        <f>"01011921"</f>
        <v>01011921</v>
      </c>
    </row>
    <row r="1353" spans="1:7" x14ac:dyDescent="0.25">
      <c r="A1353" s="2">
        <v>1352</v>
      </c>
      <c r="B1353" s="3">
        <v>2307</v>
      </c>
      <c r="C1353" s="5" t="s">
        <v>3016</v>
      </c>
      <c r="D1353" s="5" t="s">
        <v>635</v>
      </c>
      <c r="E1353" s="5" t="s">
        <v>284</v>
      </c>
      <c r="F1353" s="3" t="s">
        <v>3017</v>
      </c>
      <c r="G1353" s="3" t="str">
        <f>"00009430"</f>
        <v>00009430</v>
      </c>
    </row>
    <row r="1354" spans="1:7" x14ac:dyDescent="0.25">
      <c r="A1354" s="2">
        <v>1353</v>
      </c>
      <c r="B1354" s="3">
        <v>11076</v>
      </c>
      <c r="C1354" s="5" t="s">
        <v>4395</v>
      </c>
      <c r="D1354" s="5" t="s">
        <v>11</v>
      </c>
      <c r="E1354" s="5" t="s">
        <v>38</v>
      </c>
      <c r="F1354" s="3" t="s">
        <v>4396</v>
      </c>
      <c r="G1354" s="3" t="str">
        <f>"00936494"</f>
        <v>00936494</v>
      </c>
    </row>
    <row r="1355" spans="1:7" x14ac:dyDescent="0.25">
      <c r="A1355" s="2">
        <v>1354</v>
      </c>
      <c r="B1355" s="3">
        <v>4014</v>
      </c>
      <c r="C1355" s="5" t="s">
        <v>3746</v>
      </c>
      <c r="D1355" s="5" t="s">
        <v>11</v>
      </c>
      <c r="E1355" s="5" t="s">
        <v>382</v>
      </c>
      <c r="F1355" s="3" t="s">
        <v>3747</v>
      </c>
      <c r="G1355" s="3" t="str">
        <f>"00971465"</f>
        <v>00971465</v>
      </c>
    </row>
    <row r="1356" spans="1:7" x14ac:dyDescent="0.25">
      <c r="A1356" s="2">
        <v>1355</v>
      </c>
      <c r="B1356" s="3">
        <v>6792</v>
      </c>
      <c r="C1356" s="5" t="s">
        <v>432</v>
      </c>
      <c r="D1356" s="5" t="s">
        <v>431</v>
      </c>
      <c r="E1356" s="5" t="s">
        <v>4792</v>
      </c>
      <c r="F1356" s="3" t="s">
        <v>433</v>
      </c>
      <c r="G1356" s="3" t="str">
        <f>"00992514"</f>
        <v>00992514</v>
      </c>
    </row>
    <row r="1357" spans="1:7" x14ac:dyDescent="0.25">
      <c r="A1357" s="2">
        <v>1356</v>
      </c>
      <c r="B1357" s="3">
        <v>6635</v>
      </c>
      <c r="C1357" s="5" t="s">
        <v>340</v>
      </c>
      <c r="D1357" s="5" t="s">
        <v>99</v>
      </c>
      <c r="E1357" s="5" t="s">
        <v>11</v>
      </c>
      <c r="F1357" s="3" t="s">
        <v>341</v>
      </c>
      <c r="G1357" s="3" t="str">
        <f>"01018141"</f>
        <v>01018141</v>
      </c>
    </row>
    <row r="1358" spans="1:7" x14ac:dyDescent="0.25">
      <c r="A1358" s="2">
        <v>1357</v>
      </c>
      <c r="B1358" s="3">
        <v>2796</v>
      </c>
      <c r="C1358" s="5" t="s">
        <v>1747</v>
      </c>
      <c r="D1358" s="5" t="s">
        <v>1746</v>
      </c>
      <c r="E1358" s="5" t="s">
        <v>102</v>
      </c>
      <c r="F1358" s="3" t="s">
        <v>1748</v>
      </c>
      <c r="G1358" s="3" t="str">
        <f>"00979173"</f>
        <v>00979173</v>
      </c>
    </row>
    <row r="1359" spans="1:7" x14ac:dyDescent="0.25">
      <c r="A1359" s="2">
        <v>1358</v>
      </c>
      <c r="B1359" s="3">
        <v>4672</v>
      </c>
      <c r="C1359" s="5" t="s">
        <v>964</v>
      </c>
      <c r="D1359" s="5" t="s">
        <v>32</v>
      </c>
      <c r="E1359" s="5" t="s">
        <v>284</v>
      </c>
      <c r="F1359" s="3" t="s">
        <v>965</v>
      </c>
      <c r="G1359" s="3" t="str">
        <f>"201511014906"</f>
        <v>201511014906</v>
      </c>
    </row>
    <row r="1360" spans="1:7" x14ac:dyDescent="0.25">
      <c r="A1360" s="2">
        <v>1359</v>
      </c>
      <c r="B1360" s="3">
        <v>7680</v>
      </c>
      <c r="C1360" s="5" t="s">
        <v>4479</v>
      </c>
      <c r="D1360" s="5" t="s">
        <v>4478</v>
      </c>
      <c r="E1360" s="5" t="s">
        <v>4913</v>
      </c>
      <c r="F1360" s="3" t="s">
        <v>4480</v>
      </c>
      <c r="G1360" s="3" t="str">
        <f>"00881646"</f>
        <v>00881646</v>
      </c>
    </row>
    <row r="1361" spans="1:7" x14ac:dyDescent="0.25">
      <c r="A1361" s="2">
        <v>1360</v>
      </c>
      <c r="B1361" s="3">
        <v>8427</v>
      </c>
      <c r="C1361" s="5" t="s">
        <v>1789</v>
      </c>
      <c r="D1361" s="5" t="s">
        <v>11</v>
      </c>
      <c r="E1361" s="5" t="s">
        <v>5</v>
      </c>
      <c r="F1361" s="3">
        <v>709791018</v>
      </c>
      <c r="G1361" s="3" t="str">
        <f>"00982345"</f>
        <v>00982345</v>
      </c>
    </row>
    <row r="1362" spans="1:7" x14ac:dyDescent="0.25">
      <c r="A1362" s="2">
        <v>1361</v>
      </c>
      <c r="B1362" s="3">
        <v>520</v>
      </c>
      <c r="C1362" s="5" t="s">
        <v>2967</v>
      </c>
      <c r="D1362" s="5" t="s">
        <v>619</v>
      </c>
      <c r="E1362" s="5" t="s">
        <v>14</v>
      </c>
      <c r="F1362" s="3" t="s">
        <v>2968</v>
      </c>
      <c r="G1362" s="3" t="str">
        <f>"00683924"</f>
        <v>00683924</v>
      </c>
    </row>
    <row r="1363" spans="1:7" x14ac:dyDescent="0.25">
      <c r="A1363" s="2">
        <v>1362</v>
      </c>
      <c r="B1363" s="3">
        <v>10203</v>
      </c>
      <c r="C1363" s="5" t="s">
        <v>3612</v>
      </c>
      <c r="D1363" s="5" t="s">
        <v>3611</v>
      </c>
      <c r="E1363" s="5" t="s">
        <v>4886</v>
      </c>
      <c r="F1363" s="3" t="s">
        <v>3613</v>
      </c>
      <c r="G1363" s="3" t="str">
        <f>"00976757"</f>
        <v>00976757</v>
      </c>
    </row>
    <row r="1364" spans="1:7" x14ac:dyDescent="0.25">
      <c r="A1364" s="2">
        <v>1363</v>
      </c>
      <c r="B1364" s="3">
        <v>6725</v>
      </c>
      <c r="C1364" s="5" t="s">
        <v>2662</v>
      </c>
      <c r="D1364" s="5" t="s">
        <v>87</v>
      </c>
      <c r="E1364" s="5" t="s">
        <v>14</v>
      </c>
      <c r="F1364" s="3">
        <v>2740401</v>
      </c>
      <c r="G1364" s="3" t="str">
        <f>"01017764"</f>
        <v>01017764</v>
      </c>
    </row>
    <row r="1365" spans="1:7" x14ac:dyDescent="0.25">
      <c r="A1365" s="2">
        <v>1364</v>
      </c>
      <c r="B1365" s="3">
        <v>12379</v>
      </c>
      <c r="C1365" s="5" t="s">
        <v>1031</v>
      </c>
      <c r="D1365" s="5" t="s">
        <v>588</v>
      </c>
      <c r="E1365" s="5" t="s">
        <v>14</v>
      </c>
      <c r="F1365" s="3" t="s">
        <v>1032</v>
      </c>
      <c r="G1365" s="3" t="str">
        <f>"00982258"</f>
        <v>00982258</v>
      </c>
    </row>
    <row r="1366" spans="1:7" x14ac:dyDescent="0.25">
      <c r="A1366" s="2">
        <v>1365</v>
      </c>
      <c r="B1366" s="3">
        <v>11132</v>
      </c>
      <c r="C1366" s="5" t="s">
        <v>30</v>
      </c>
      <c r="D1366" s="5" t="s">
        <v>29</v>
      </c>
      <c r="E1366" s="5" t="s">
        <v>4785</v>
      </c>
      <c r="F1366" s="3" t="s">
        <v>31</v>
      </c>
      <c r="G1366" s="3" t="str">
        <f>"00559543"</f>
        <v>00559543</v>
      </c>
    </row>
    <row r="1367" spans="1:7" x14ac:dyDescent="0.25">
      <c r="A1367" s="2">
        <v>1366</v>
      </c>
      <c r="B1367" s="3">
        <v>12077</v>
      </c>
      <c r="C1367" s="5" t="s">
        <v>2982</v>
      </c>
      <c r="D1367" s="5" t="s">
        <v>84</v>
      </c>
      <c r="E1367" s="5" t="s">
        <v>41</v>
      </c>
      <c r="F1367" s="3" t="s">
        <v>2983</v>
      </c>
      <c r="G1367" s="3" t="str">
        <f>"00218532"</f>
        <v>00218532</v>
      </c>
    </row>
    <row r="1368" spans="1:7" x14ac:dyDescent="0.25">
      <c r="A1368" s="2">
        <v>1367</v>
      </c>
      <c r="B1368" s="3">
        <v>539</v>
      </c>
      <c r="C1368" s="5" t="s">
        <v>2113</v>
      </c>
      <c r="D1368" s="5" t="s">
        <v>11</v>
      </c>
      <c r="E1368" s="5" t="s">
        <v>87</v>
      </c>
      <c r="F1368" s="3" t="s">
        <v>2114</v>
      </c>
      <c r="G1368" s="3" t="str">
        <f>"00446295"</f>
        <v>00446295</v>
      </c>
    </row>
    <row r="1369" spans="1:7" x14ac:dyDescent="0.25">
      <c r="A1369" s="2">
        <v>1368</v>
      </c>
      <c r="B1369" s="3">
        <v>6080</v>
      </c>
      <c r="C1369" s="5" t="s">
        <v>1265</v>
      </c>
      <c r="D1369" s="5" t="s">
        <v>87</v>
      </c>
      <c r="E1369" s="5" t="s">
        <v>14</v>
      </c>
      <c r="F1369" s="3">
        <v>15526</v>
      </c>
      <c r="G1369" s="3" t="str">
        <f>"01017212"</f>
        <v>01017212</v>
      </c>
    </row>
    <row r="1370" spans="1:7" x14ac:dyDescent="0.25">
      <c r="A1370" s="2">
        <v>1369</v>
      </c>
      <c r="B1370" s="3">
        <v>4456</v>
      </c>
      <c r="C1370" s="5" t="s">
        <v>1507</v>
      </c>
      <c r="D1370" s="5" t="s">
        <v>102</v>
      </c>
      <c r="E1370" s="5" t="s">
        <v>87</v>
      </c>
      <c r="F1370" s="3" t="s">
        <v>1508</v>
      </c>
      <c r="G1370" s="3" t="str">
        <f>"01014819"</f>
        <v>01014819</v>
      </c>
    </row>
    <row r="1371" spans="1:7" x14ac:dyDescent="0.25">
      <c r="A1371" s="2">
        <v>1370</v>
      </c>
      <c r="B1371" s="3">
        <v>11170</v>
      </c>
      <c r="C1371" s="5" t="s">
        <v>869</v>
      </c>
      <c r="D1371" s="5" t="s">
        <v>868</v>
      </c>
      <c r="E1371" s="5" t="s">
        <v>44</v>
      </c>
      <c r="F1371" s="3" t="s">
        <v>870</v>
      </c>
      <c r="G1371" s="3" t="str">
        <f>"00129730"</f>
        <v>00129730</v>
      </c>
    </row>
    <row r="1372" spans="1:7" x14ac:dyDescent="0.25">
      <c r="A1372" s="2">
        <v>1371</v>
      </c>
      <c r="B1372" s="3">
        <v>12397</v>
      </c>
      <c r="C1372" s="5" t="s">
        <v>2132</v>
      </c>
      <c r="D1372" s="5" t="s">
        <v>102</v>
      </c>
      <c r="E1372" s="5" t="s">
        <v>14</v>
      </c>
      <c r="F1372" s="3" t="s">
        <v>2133</v>
      </c>
      <c r="G1372" s="3" t="str">
        <f>"00980185"</f>
        <v>00980185</v>
      </c>
    </row>
    <row r="1373" spans="1:7" x14ac:dyDescent="0.25">
      <c r="A1373" s="2">
        <v>1372</v>
      </c>
      <c r="B1373" s="3">
        <v>30</v>
      </c>
      <c r="C1373" s="5" t="s">
        <v>3215</v>
      </c>
      <c r="D1373" s="5" t="s">
        <v>696</v>
      </c>
      <c r="E1373" s="5" t="s">
        <v>1172</v>
      </c>
      <c r="F1373" s="3" t="s">
        <v>3216</v>
      </c>
      <c r="G1373" s="3" t="str">
        <f>"00984365"</f>
        <v>00984365</v>
      </c>
    </row>
    <row r="1374" spans="1:7" x14ac:dyDescent="0.25">
      <c r="A1374" s="2">
        <v>1373</v>
      </c>
      <c r="B1374" s="3">
        <v>8963</v>
      </c>
      <c r="C1374" s="5" t="s">
        <v>3186</v>
      </c>
      <c r="D1374" s="5" t="s">
        <v>635</v>
      </c>
      <c r="E1374" s="5" t="s">
        <v>87</v>
      </c>
      <c r="F1374" s="3">
        <v>900580016</v>
      </c>
      <c r="G1374" s="3" t="str">
        <f>"00450695"</f>
        <v>00450695</v>
      </c>
    </row>
    <row r="1375" spans="1:7" x14ac:dyDescent="0.25">
      <c r="A1375" s="2">
        <v>1374</v>
      </c>
      <c r="B1375" s="3">
        <v>3815</v>
      </c>
      <c r="C1375" s="5" t="s">
        <v>1125</v>
      </c>
      <c r="D1375" s="5" t="s">
        <v>184</v>
      </c>
      <c r="E1375" s="5" t="s">
        <v>4813</v>
      </c>
      <c r="F1375" s="3">
        <v>84924</v>
      </c>
      <c r="G1375" s="3" t="str">
        <f>"00399844"</f>
        <v>00399844</v>
      </c>
    </row>
    <row r="1376" spans="1:7" x14ac:dyDescent="0.25">
      <c r="A1376" s="2">
        <v>1375</v>
      </c>
      <c r="B1376" s="3">
        <v>3938</v>
      </c>
      <c r="C1376" s="5" t="s">
        <v>683</v>
      </c>
      <c r="D1376" s="5" t="s">
        <v>87</v>
      </c>
      <c r="E1376" s="5" t="s">
        <v>14</v>
      </c>
      <c r="F1376" s="3" t="s">
        <v>684</v>
      </c>
      <c r="G1376" s="3" t="str">
        <f>"00777486"</f>
        <v>00777486</v>
      </c>
    </row>
    <row r="1377" spans="1:7" x14ac:dyDescent="0.25">
      <c r="A1377" s="2">
        <v>1376</v>
      </c>
      <c r="B1377" s="3">
        <v>4852</v>
      </c>
      <c r="C1377" s="5" t="s">
        <v>920</v>
      </c>
      <c r="D1377" s="5" t="s">
        <v>919</v>
      </c>
      <c r="E1377" s="5" t="s">
        <v>284</v>
      </c>
      <c r="F1377" s="3" t="s">
        <v>921</v>
      </c>
      <c r="G1377" s="3" t="str">
        <f>"201501000055"</f>
        <v>201501000055</v>
      </c>
    </row>
    <row r="1378" spans="1:7" x14ac:dyDescent="0.25">
      <c r="A1378" s="2">
        <v>1377</v>
      </c>
      <c r="B1378" s="3">
        <v>5057</v>
      </c>
      <c r="C1378" s="5" t="s">
        <v>3896</v>
      </c>
      <c r="D1378" s="5" t="s">
        <v>126</v>
      </c>
      <c r="E1378" s="5" t="s">
        <v>14</v>
      </c>
      <c r="F1378" s="3" t="s">
        <v>3897</v>
      </c>
      <c r="G1378" s="3" t="str">
        <f>"00880758"</f>
        <v>00880758</v>
      </c>
    </row>
    <row r="1379" spans="1:7" x14ac:dyDescent="0.25">
      <c r="A1379" s="2">
        <v>1378</v>
      </c>
      <c r="B1379" s="3">
        <v>1692</v>
      </c>
      <c r="C1379" s="5" t="s">
        <v>261</v>
      </c>
      <c r="D1379" s="5" t="s">
        <v>126</v>
      </c>
      <c r="E1379" s="5" t="s">
        <v>11</v>
      </c>
      <c r="F1379" s="3" t="s">
        <v>262</v>
      </c>
      <c r="G1379" s="3" t="str">
        <f>"201406012872"</f>
        <v>201406012872</v>
      </c>
    </row>
    <row r="1380" spans="1:7" x14ac:dyDescent="0.25">
      <c r="A1380" s="2">
        <v>1379</v>
      </c>
      <c r="B1380" s="3">
        <v>5461</v>
      </c>
      <c r="C1380" s="5" t="s">
        <v>2606</v>
      </c>
      <c r="D1380" s="5" t="s">
        <v>588</v>
      </c>
      <c r="E1380" s="5" t="s">
        <v>14</v>
      </c>
      <c r="F1380" s="3" t="s">
        <v>2607</v>
      </c>
      <c r="G1380" s="3" t="str">
        <f>"00980401"</f>
        <v>00980401</v>
      </c>
    </row>
    <row r="1381" spans="1:7" x14ac:dyDescent="0.25">
      <c r="A1381" s="2">
        <v>1380</v>
      </c>
      <c r="B1381" s="3">
        <v>6784</v>
      </c>
      <c r="C1381" s="5" t="s">
        <v>1804</v>
      </c>
      <c r="D1381" s="5" t="s">
        <v>126</v>
      </c>
      <c r="E1381" s="5" t="s">
        <v>52</v>
      </c>
      <c r="F1381" s="3" t="s">
        <v>1805</v>
      </c>
      <c r="G1381" s="3" t="str">
        <f>"00975367"</f>
        <v>00975367</v>
      </c>
    </row>
    <row r="1382" spans="1:7" x14ac:dyDescent="0.25">
      <c r="A1382" s="2">
        <v>1381</v>
      </c>
      <c r="B1382" s="3">
        <v>11920</v>
      </c>
      <c r="C1382" s="5" t="s">
        <v>3410</v>
      </c>
      <c r="D1382" s="5" t="s">
        <v>187</v>
      </c>
      <c r="E1382" s="5" t="s">
        <v>11</v>
      </c>
      <c r="F1382" s="3" t="s">
        <v>3411</v>
      </c>
      <c r="G1382" s="3" t="str">
        <f>"00898665"</f>
        <v>00898665</v>
      </c>
    </row>
    <row r="1383" spans="1:7" x14ac:dyDescent="0.25">
      <c r="A1383" s="2">
        <v>1382</v>
      </c>
      <c r="B1383" s="3">
        <v>2611</v>
      </c>
      <c r="C1383" s="5" t="s">
        <v>3089</v>
      </c>
      <c r="D1383" s="5" t="s">
        <v>3088</v>
      </c>
      <c r="E1383" s="5" t="s">
        <v>1023</v>
      </c>
      <c r="F1383" s="3" t="s">
        <v>3090</v>
      </c>
      <c r="G1383" s="3" t="str">
        <f>"00437821"</f>
        <v>00437821</v>
      </c>
    </row>
    <row r="1384" spans="1:7" x14ac:dyDescent="0.25">
      <c r="A1384" s="2">
        <v>1383</v>
      </c>
      <c r="B1384" s="3">
        <v>8186</v>
      </c>
      <c r="C1384" s="5" t="s">
        <v>520</v>
      </c>
      <c r="D1384" s="5" t="s">
        <v>375</v>
      </c>
      <c r="E1384" s="5" t="s">
        <v>14</v>
      </c>
      <c r="F1384" s="3" t="s">
        <v>521</v>
      </c>
      <c r="G1384" s="3" t="str">
        <f>"00283891"</f>
        <v>00283891</v>
      </c>
    </row>
    <row r="1385" spans="1:7" x14ac:dyDescent="0.25">
      <c r="A1385" s="2">
        <v>1384</v>
      </c>
      <c r="B1385" s="3">
        <v>12295</v>
      </c>
      <c r="C1385" s="5" t="s">
        <v>230</v>
      </c>
      <c r="D1385" s="5" t="s">
        <v>14</v>
      </c>
      <c r="E1385" s="5" t="s">
        <v>11</v>
      </c>
      <c r="F1385" s="3">
        <v>5756</v>
      </c>
      <c r="G1385" s="3" t="str">
        <f>"00444908"</f>
        <v>00444908</v>
      </c>
    </row>
    <row r="1386" spans="1:7" x14ac:dyDescent="0.25">
      <c r="A1386" s="2">
        <v>1385</v>
      </c>
      <c r="B1386" s="3">
        <v>6915</v>
      </c>
      <c r="C1386" s="5" t="s">
        <v>3068</v>
      </c>
      <c r="D1386" s="5" t="s">
        <v>52</v>
      </c>
      <c r="E1386" s="5" t="s">
        <v>284</v>
      </c>
      <c r="F1386" s="3" t="s">
        <v>3069</v>
      </c>
      <c r="G1386" s="3" t="str">
        <f>"01010375"</f>
        <v>01010375</v>
      </c>
    </row>
    <row r="1387" spans="1:7" x14ac:dyDescent="0.25">
      <c r="A1387" s="2">
        <v>1386</v>
      </c>
      <c r="B1387" s="3">
        <v>6782</v>
      </c>
      <c r="C1387" s="5" t="s">
        <v>4714</v>
      </c>
      <c r="D1387" s="5" t="s">
        <v>87</v>
      </c>
      <c r="E1387" s="5" t="s">
        <v>38</v>
      </c>
      <c r="F1387" s="3" t="s">
        <v>4715</v>
      </c>
      <c r="G1387" s="3" t="str">
        <f>"00933531"</f>
        <v>00933531</v>
      </c>
    </row>
    <row r="1388" spans="1:7" x14ac:dyDescent="0.25">
      <c r="A1388" s="2">
        <v>1387</v>
      </c>
      <c r="B1388" s="3">
        <v>5470</v>
      </c>
      <c r="C1388" s="5" t="s">
        <v>3043</v>
      </c>
      <c r="D1388" s="5" t="s">
        <v>3042</v>
      </c>
      <c r="E1388" s="5" t="s">
        <v>52</v>
      </c>
      <c r="F1388" s="3" t="s">
        <v>3044</v>
      </c>
      <c r="G1388" s="3" t="str">
        <f>"00271158"</f>
        <v>00271158</v>
      </c>
    </row>
    <row r="1389" spans="1:7" x14ac:dyDescent="0.25">
      <c r="A1389" s="2">
        <v>1388</v>
      </c>
      <c r="B1389" s="3">
        <v>10219</v>
      </c>
      <c r="C1389" s="5" t="s">
        <v>3725</v>
      </c>
      <c r="D1389" s="5" t="s">
        <v>87</v>
      </c>
      <c r="E1389" s="5" t="s">
        <v>63</v>
      </c>
      <c r="F1389" s="3" t="s">
        <v>3726</v>
      </c>
      <c r="G1389" s="3" t="str">
        <f>"00992898"</f>
        <v>00992898</v>
      </c>
    </row>
    <row r="1390" spans="1:7" x14ac:dyDescent="0.25">
      <c r="A1390" s="2">
        <v>1389</v>
      </c>
      <c r="B1390" s="3">
        <v>9016</v>
      </c>
      <c r="C1390" s="5" t="s">
        <v>2098</v>
      </c>
      <c r="D1390" s="5" t="s">
        <v>44</v>
      </c>
      <c r="E1390" s="5" t="s">
        <v>135</v>
      </c>
      <c r="F1390" s="3" t="s">
        <v>2099</v>
      </c>
      <c r="G1390" s="3" t="str">
        <f>"00987060"</f>
        <v>00987060</v>
      </c>
    </row>
    <row r="1391" spans="1:7" x14ac:dyDescent="0.25">
      <c r="A1391" s="2">
        <v>1390</v>
      </c>
      <c r="B1391" s="3">
        <v>7722</v>
      </c>
      <c r="C1391" s="5" t="s">
        <v>1097</v>
      </c>
      <c r="D1391" s="5" t="s">
        <v>1096</v>
      </c>
      <c r="E1391" s="5" t="s">
        <v>129</v>
      </c>
      <c r="F1391" s="3" t="s">
        <v>1098</v>
      </c>
      <c r="G1391" s="3" t="str">
        <f>"00242215"</f>
        <v>00242215</v>
      </c>
    </row>
    <row r="1392" spans="1:7" x14ac:dyDescent="0.25">
      <c r="A1392" s="2">
        <v>1391</v>
      </c>
      <c r="B1392" s="3">
        <v>12416</v>
      </c>
      <c r="C1392" s="5" t="s">
        <v>2500</v>
      </c>
      <c r="D1392" s="5" t="s">
        <v>635</v>
      </c>
      <c r="E1392" s="5" t="s">
        <v>14</v>
      </c>
      <c r="F1392" s="3" t="s">
        <v>2501</v>
      </c>
      <c r="G1392" s="3" t="str">
        <f>"00214173"</f>
        <v>00214173</v>
      </c>
    </row>
    <row r="1393" spans="1:7" x14ac:dyDescent="0.25">
      <c r="A1393" s="2">
        <v>1392</v>
      </c>
      <c r="B1393" s="3">
        <v>160</v>
      </c>
      <c r="C1393" s="5" t="s">
        <v>907</v>
      </c>
      <c r="D1393" s="5" t="s">
        <v>129</v>
      </c>
      <c r="E1393" s="5" t="s">
        <v>87</v>
      </c>
      <c r="F1393" s="3" t="s">
        <v>908</v>
      </c>
      <c r="G1393" s="3" t="str">
        <f>"00985142"</f>
        <v>00985142</v>
      </c>
    </row>
    <row r="1394" spans="1:7" x14ac:dyDescent="0.25">
      <c r="A1394" s="2">
        <v>1393</v>
      </c>
      <c r="B1394" s="3">
        <v>919</v>
      </c>
      <c r="C1394" s="5" t="s">
        <v>3760</v>
      </c>
      <c r="D1394" s="5" t="s">
        <v>11</v>
      </c>
      <c r="E1394" s="5" t="s">
        <v>5</v>
      </c>
      <c r="F1394" s="3" t="s">
        <v>3761</v>
      </c>
      <c r="G1394" s="3" t="str">
        <f>"201507004192"</f>
        <v>201507004192</v>
      </c>
    </row>
    <row r="1395" spans="1:7" x14ac:dyDescent="0.25">
      <c r="A1395" s="2">
        <v>1394</v>
      </c>
      <c r="B1395" s="3">
        <v>2526</v>
      </c>
      <c r="C1395" s="5" t="s">
        <v>3507</v>
      </c>
      <c r="D1395" s="5" t="s">
        <v>619</v>
      </c>
      <c r="E1395" s="5" t="s">
        <v>11</v>
      </c>
      <c r="F1395" s="3" t="s">
        <v>3508</v>
      </c>
      <c r="G1395" s="3" t="str">
        <f>"00243769"</f>
        <v>00243769</v>
      </c>
    </row>
    <row r="1396" spans="1:7" x14ac:dyDescent="0.25">
      <c r="A1396" s="2">
        <v>1395</v>
      </c>
      <c r="B1396" s="3">
        <v>333</v>
      </c>
      <c r="C1396" s="5" t="s">
        <v>694</v>
      </c>
      <c r="D1396" s="5" t="s">
        <v>18</v>
      </c>
      <c r="E1396" s="5" t="s">
        <v>16</v>
      </c>
      <c r="F1396" s="3" t="s">
        <v>695</v>
      </c>
      <c r="G1396" s="3" t="str">
        <f>"01011382"</f>
        <v>01011382</v>
      </c>
    </row>
    <row r="1397" spans="1:7" x14ac:dyDescent="0.25">
      <c r="A1397" s="2">
        <v>1396</v>
      </c>
      <c r="B1397" s="3">
        <v>7459</v>
      </c>
      <c r="C1397" s="5" t="s">
        <v>694</v>
      </c>
      <c r="D1397" s="5" t="s">
        <v>162</v>
      </c>
      <c r="E1397" s="5" t="s">
        <v>4827</v>
      </c>
      <c r="F1397" s="3" t="s">
        <v>3046</v>
      </c>
      <c r="G1397" s="3" t="str">
        <f>"00012948"</f>
        <v>00012948</v>
      </c>
    </row>
    <row r="1398" spans="1:7" x14ac:dyDescent="0.25">
      <c r="A1398" s="2">
        <v>1397</v>
      </c>
      <c r="B1398" s="3">
        <v>3828</v>
      </c>
      <c r="C1398" s="5" t="s">
        <v>2404</v>
      </c>
      <c r="D1398" s="5" t="s">
        <v>52</v>
      </c>
      <c r="E1398" s="5" t="s">
        <v>94</v>
      </c>
      <c r="F1398" s="3" t="s">
        <v>2405</v>
      </c>
      <c r="G1398" s="3" t="str">
        <f>"01016126"</f>
        <v>01016126</v>
      </c>
    </row>
    <row r="1399" spans="1:7" x14ac:dyDescent="0.25">
      <c r="A1399" s="2">
        <v>1398</v>
      </c>
      <c r="B1399" s="3">
        <v>11978</v>
      </c>
      <c r="C1399" s="5" t="s">
        <v>938</v>
      </c>
      <c r="D1399" s="5" t="s">
        <v>52</v>
      </c>
      <c r="E1399" s="5" t="s">
        <v>44</v>
      </c>
      <c r="F1399" s="3" t="s">
        <v>939</v>
      </c>
      <c r="G1399" s="3" t="str">
        <f>"01017519"</f>
        <v>01017519</v>
      </c>
    </row>
    <row r="1400" spans="1:7" x14ac:dyDescent="0.25">
      <c r="A1400" s="2">
        <v>1399</v>
      </c>
      <c r="B1400" s="3">
        <v>4332</v>
      </c>
      <c r="C1400" s="5" t="s">
        <v>3655</v>
      </c>
      <c r="D1400" s="5" t="s">
        <v>66</v>
      </c>
      <c r="E1400" s="5" t="s">
        <v>14</v>
      </c>
      <c r="F1400" s="3" t="s">
        <v>3656</v>
      </c>
      <c r="G1400" s="3" t="str">
        <f>"00238170"</f>
        <v>00238170</v>
      </c>
    </row>
    <row r="1401" spans="1:7" x14ac:dyDescent="0.25">
      <c r="A1401" s="2">
        <v>1400</v>
      </c>
      <c r="B1401" s="3">
        <v>9766</v>
      </c>
      <c r="C1401" s="5" t="s">
        <v>3010</v>
      </c>
      <c r="D1401" s="5" t="s">
        <v>14</v>
      </c>
      <c r="E1401" s="5" t="s">
        <v>44</v>
      </c>
      <c r="F1401" s="3" t="s">
        <v>3011</v>
      </c>
      <c r="G1401" s="3" t="str">
        <f>"01014835"</f>
        <v>01014835</v>
      </c>
    </row>
    <row r="1402" spans="1:7" x14ac:dyDescent="0.25">
      <c r="A1402" s="2">
        <v>1401</v>
      </c>
      <c r="B1402" s="3">
        <v>8196</v>
      </c>
      <c r="C1402" s="5" t="s">
        <v>1858</v>
      </c>
      <c r="D1402" s="5" t="s">
        <v>27</v>
      </c>
      <c r="E1402" s="5" t="s">
        <v>424</v>
      </c>
      <c r="F1402" s="3" t="s">
        <v>1859</v>
      </c>
      <c r="G1402" s="3" t="str">
        <f>"00808161"</f>
        <v>00808161</v>
      </c>
    </row>
    <row r="1403" spans="1:7" x14ac:dyDescent="0.25">
      <c r="A1403" s="2">
        <v>1402</v>
      </c>
      <c r="B1403" s="3">
        <v>11813</v>
      </c>
      <c r="C1403" s="5" t="s">
        <v>1858</v>
      </c>
      <c r="D1403" s="5" t="s">
        <v>27</v>
      </c>
      <c r="E1403" s="5" t="s">
        <v>532</v>
      </c>
      <c r="F1403" s="3">
        <v>900791013</v>
      </c>
      <c r="G1403" s="3" t="str">
        <f>"00984478"</f>
        <v>00984478</v>
      </c>
    </row>
    <row r="1404" spans="1:7" x14ac:dyDescent="0.25">
      <c r="A1404" s="2">
        <v>1403</v>
      </c>
      <c r="B1404" s="3">
        <v>414</v>
      </c>
      <c r="C1404" s="5" t="s">
        <v>1178</v>
      </c>
      <c r="D1404" s="5" t="s">
        <v>1177</v>
      </c>
      <c r="E1404" s="5" t="s">
        <v>810</v>
      </c>
      <c r="F1404" s="3" t="s">
        <v>1179</v>
      </c>
      <c r="G1404" s="3" t="str">
        <f>"01015862"</f>
        <v>01015862</v>
      </c>
    </row>
    <row r="1405" spans="1:7" x14ac:dyDescent="0.25">
      <c r="A1405" s="2">
        <v>1404</v>
      </c>
      <c r="B1405" s="3">
        <v>9898</v>
      </c>
      <c r="C1405" s="5" t="s">
        <v>1427</v>
      </c>
      <c r="D1405" s="5" t="s">
        <v>284</v>
      </c>
      <c r="E1405" s="5" t="s">
        <v>135</v>
      </c>
      <c r="F1405" s="3" t="s">
        <v>1428</v>
      </c>
      <c r="G1405" s="3" t="str">
        <f>"00978912"</f>
        <v>00978912</v>
      </c>
    </row>
    <row r="1406" spans="1:7" x14ac:dyDescent="0.25">
      <c r="A1406" s="2">
        <v>1405</v>
      </c>
      <c r="B1406" s="3">
        <v>11345</v>
      </c>
      <c r="C1406" s="5" t="s">
        <v>3187</v>
      </c>
      <c r="D1406" s="5" t="s">
        <v>5</v>
      </c>
      <c r="E1406" s="5" t="s">
        <v>14</v>
      </c>
      <c r="F1406" s="3" t="s">
        <v>3188</v>
      </c>
      <c r="G1406" s="3" t="str">
        <f>"00983389"</f>
        <v>00983389</v>
      </c>
    </row>
    <row r="1407" spans="1:7" x14ac:dyDescent="0.25">
      <c r="A1407" s="2">
        <v>1406</v>
      </c>
      <c r="B1407" s="3">
        <v>4564</v>
      </c>
      <c r="C1407" s="5" t="s">
        <v>917</v>
      </c>
      <c r="D1407" s="5" t="s">
        <v>162</v>
      </c>
      <c r="E1407" s="5" t="s">
        <v>94</v>
      </c>
      <c r="F1407" s="3" t="s">
        <v>918</v>
      </c>
      <c r="G1407" s="3" t="str">
        <f>"00831365"</f>
        <v>00831365</v>
      </c>
    </row>
    <row r="1408" spans="1:7" x14ac:dyDescent="0.25">
      <c r="A1408" s="2">
        <v>1407</v>
      </c>
      <c r="B1408" s="3">
        <v>6455</v>
      </c>
      <c r="C1408" s="5" t="s">
        <v>1610</v>
      </c>
      <c r="D1408" s="5" t="s">
        <v>457</v>
      </c>
      <c r="E1408" s="5" t="s">
        <v>94</v>
      </c>
      <c r="F1408" s="3" t="s">
        <v>1611</v>
      </c>
      <c r="G1408" s="3" t="str">
        <f>"01012550"</f>
        <v>01012550</v>
      </c>
    </row>
    <row r="1409" spans="1:7" x14ac:dyDescent="0.25">
      <c r="A1409" s="2">
        <v>1408</v>
      </c>
      <c r="B1409" s="3">
        <v>12250</v>
      </c>
      <c r="C1409" s="5" t="s">
        <v>2025</v>
      </c>
      <c r="D1409" s="5" t="s">
        <v>87</v>
      </c>
      <c r="E1409" s="5" t="s">
        <v>94</v>
      </c>
      <c r="F1409" s="3" t="s">
        <v>2026</v>
      </c>
      <c r="G1409" s="3" t="str">
        <f>"01016046"</f>
        <v>01016046</v>
      </c>
    </row>
    <row r="1410" spans="1:7" x14ac:dyDescent="0.25">
      <c r="A1410" s="2">
        <v>1409</v>
      </c>
      <c r="B1410" s="3">
        <v>9287</v>
      </c>
      <c r="C1410" s="5" t="s">
        <v>1616</v>
      </c>
      <c r="D1410" s="5" t="s">
        <v>1615</v>
      </c>
      <c r="E1410" s="5" t="s">
        <v>5</v>
      </c>
      <c r="F1410" s="3" t="s">
        <v>1617</v>
      </c>
      <c r="G1410" s="3" t="str">
        <f>"201406012291"</f>
        <v>201406012291</v>
      </c>
    </row>
    <row r="1411" spans="1:7" x14ac:dyDescent="0.25">
      <c r="A1411" s="2">
        <v>1410</v>
      </c>
      <c r="B1411" s="3">
        <v>10491</v>
      </c>
      <c r="C1411" s="5" t="s">
        <v>4188</v>
      </c>
      <c r="D1411" s="5" t="s">
        <v>91</v>
      </c>
      <c r="E1411" s="5" t="s">
        <v>11</v>
      </c>
      <c r="F1411" s="3" t="s">
        <v>4189</v>
      </c>
      <c r="G1411" s="3" t="str">
        <f>"00767015"</f>
        <v>00767015</v>
      </c>
    </row>
    <row r="1412" spans="1:7" x14ac:dyDescent="0.25">
      <c r="A1412" s="2">
        <v>1411</v>
      </c>
      <c r="B1412" s="3">
        <v>11581</v>
      </c>
      <c r="C1412" s="5" t="s">
        <v>3154</v>
      </c>
      <c r="D1412" s="5" t="s">
        <v>82</v>
      </c>
      <c r="E1412" s="5" t="s">
        <v>14</v>
      </c>
      <c r="F1412" s="3" t="s">
        <v>3155</v>
      </c>
      <c r="G1412" s="3" t="str">
        <f>"00983551"</f>
        <v>00983551</v>
      </c>
    </row>
    <row r="1413" spans="1:7" x14ac:dyDescent="0.25">
      <c r="A1413" s="2">
        <v>1412</v>
      </c>
      <c r="B1413" s="3">
        <v>8258</v>
      </c>
      <c r="C1413" s="5" t="s">
        <v>4272</v>
      </c>
      <c r="D1413" s="5" t="s">
        <v>4271</v>
      </c>
      <c r="E1413" s="5" t="s">
        <v>14</v>
      </c>
      <c r="F1413" s="3" t="s">
        <v>4273</v>
      </c>
      <c r="G1413" s="3" t="str">
        <f>"00984709"</f>
        <v>00984709</v>
      </c>
    </row>
    <row r="1414" spans="1:7" x14ac:dyDescent="0.25">
      <c r="A1414" s="2">
        <v>1413</v>
      </c>
      <c r="B1414" s="3">
        <v>8955</v>
      </c>
      <c r="C1414" s="5" t="s">
        <v>176</v>
      </c>
      <c r="D1414" s="5" t="s">
        <v>159</v>
      </c>
      <c r="E1414" s="5" t="s">
        <v>52</v>
      </c>
      <c r="F1414" s="3" t="s">
        <v>177</v>
      </c>
      <c r="G1414" s="3" t="str">
        <f>"01016532"</f>
        <v>01016532</v>
      </c>
    </row>
    <row r="1415" spans="1:7" x14ac:dyDescent="0.25">
      <c r="A1415" s="2">
        <v>1414</v>
      </c>
      <c r="B1415" s="3">
        <v>4919</v>
      </c>
      <c r="C1415" s="5" t="s">
        <v>1057</v>
      </c>
      <c r="D1415" s="5" t="s">
        <v>87</v>
      </c>
      <c r="E1415" s="5" t="s">
        <v>2659</v>
      </c>
      <c r="F1415" s="3" t="s">
        <v>1058</v>
      </c>
      <c r="G1415" s="3" t="str">
        <f>"201405000228"</f>
        <v>201405000228</v>
      </c>
    </row>
    <row r="1416" spans="1:7" x14ac:dyDescent="0.25">
      <c r="A1416" s="2">
        <v>1415</v>
      </c>
      <c r="B1416" s="3">
        <v>10421</v>
      </c>
      <c r="C1416" s="5" t="s">
        <v>367</v>
      </c>
      <c r="D1416" s="5" t="s">
        <v>366</v>
      </c>
      <c r="E1416" s="5" t="s">
        <v>87</v>
      </c>
      <c r="F1416" s="3" t="s">
        <v>368</v>
      </c>
      <c r="G1416" s="3" t="str">
        <f>"01016849"</f>
        <v>01016849</v>
      </c>
    </row>
    <row r="1417" spans="1:7" x14ac:dyDescent="0.25">
      <c r="A1417" s="2">
        <v>1416</v>
      </c>
      <c r="B1417" s="3">
        <v>7991</v>
      </c>
      <c r="C1417" s="5" t="s">
        <v>1328</v>
      </c>
      <c r="D1417" s="5" t="s">
        <v>129</v>
      </c>
      <c r="E1417" s="5" t="s">
        <v>2076</v>
      </c>
      <c r="F1417" s="3" t="s">
        <v>1329</v>
      </c>
      <c r="G1417" s="3" t="str">
        <f>"01010477"</f>
        <v>01010477</v>
      </c>
    </row>
    <row r="1418" spans="1:7" x14ac:dyDescent="0.25">
      <c r="A1418" s="2">
        <v>1417</v>
      </c>
      <c r="B1418" s="3">
        <v>6203</v>
      </c>
      <c r="C1418" s="5" t="s">
        <v>3371</v>
      </c>
      <c r="D1418" s="5" t="s">
        <v>198</v>
      </c>
      <c r="E1418" s="5" t="s">
        <v>545</v>
      </c>
      <c r="F1418" s="3" t="s">
        <v>3372</v>
      </c>
      <c r="G1418" s="3" t="str">
        <f>"01000929"</f>
        <v>01000929</v>
      </c>
    </row>
    <row r="1419" spans="1:7" x14ac:dyDescent="0.25">
      <c r="A1419" s="2">
        <v>1418</v>
      </c>
      <c r="B1419" s="3">
        <v>8708</v>
      </c>
      <c r="C1419" s="5" t="s">
        <v>2395</v>
      </c>
      <c r="D1419" s="5" t="s">
        <v>545</v>
      </c>
      <c r="E1419" s="5" t="s">
        <v>667</v>
      </c>
      <c r="F1419" s="3">
        <v>2012435</v>
      </c>
      <c r="G1419" s="3" t="str">
        <f>"01013816"</f>
        <v>01013816</v>
      </c>
    </row>
    <row r="1420" spans="1:7" x14ac:dyDescent="0.25">
      <c r="A1420" s="2">
        <v>1419</v>
      </c>
      <c r="B1420" s="3">
        <v>10249</v>
      </c>
      <c r="C1420" s="5" t="s">
        <v>866</v>
      </c>
      <c r="D1420" s="5" t="s">
        <v>865</v>
      </c>
      <c r="E1420" s="5" t="s">
        <v>52</v>
      </c>
      <c r="F1420" s="3" t="s">
        <v>867</v>
      </c>
      <c r="G1420" s="3" t="str">
        <f>"00933899"</f>
        <v>00933899</v>
      </c>
    </row>
    <row r="1421" spans="1:7" x14ac:dyDescent="0.25">
      <c r="A1421" s="2">
        <v>1420</v>
      </c>
      <c r="B1421" s="3">
        <v>12978</v>
      </c>
      <c r="C1421" s="5" t="s">
        <v>1334</v>
      </c>
      <c r="D1421" s="5" t="s">
        <v>776</v>
      </c>
      <c r="E1421" s="5" t="s">
        <v>52</v>
      </c>
      <c r="F1421" s="3" t="s">
        <v>1335</v>
      </c>
      <c r="G1421" s="3" t="str">
        <f>"00847999"</f>
        <v>00847999</v>
      </c>
    </row>
    <row r="1422" spans="1:7" x14ac:dyDescent="0.25">
      <c r="A1422" s="2">
        <v>1421</v>
      </c>
      <c r="B1422" s="3">
        <v>7191</v>
      </c>
      <c r="C1422" s="5" t="s">
        <v>4241</v>
      </c>
      <c r="D1422" s="5" t="s">
        <v>14</v>
      </c>
      <c r="E1422" s="5" t="s">
        <v>184</v>
      </c>
      <c r="F1422" s="3">
        <v>900818010</v>
      </c>
      <c r="G1422" s="3" t="str">
        <f>"00982145"</f>
        <v>00982145</v>
      </c>
    </row>
    <row r="1423" spans="1:7" x14ac:dyDescent="0.25">
      <c r="A1423" s="2">
        <v>1422</v>
      </c>
      <c r="B1423" s="3">
        <v>71</v>
      </c>
      <c r="C1423" s="5" t="s">
        <v>1402</v>
      </c>
      <c r="D1423" s="5" t="s">
        <v>52</v>
      </c>
      <c r="E1423" s="5" t="s">
        <v>207</v>
      </c>
      <c r="F1423" s="3" t="s">
        <v>1403</v>
      </c>
      <c r="G1423" s="3" t="str">
        <f>"00446374"</f>
        <v>00446374</v>
      </c>
    </row>
    <row r="1424" spans="1:7" x14ac:dyDescent="0.25">
      <c r="A1424" s="2">
        <v>1423</v>
      </c>
      <c r="B1424" s="3">
        <v>7559</v>
      </c>
      <c r="C1424" s="5" t="s">
        <v>3585</v>
      </c>
      <c r="D1424" s="5" t="s">
        <v>2786</v>
      </c>
      <c r="E1424" s="5" t="s">
        <v>113</v>
      </c>
      <c r="F1424" s="3" t="s">
        <v>3586</v>
      </c>
      <c r="G1424" s="3" t="str">
        <f>"00818620"</f>
        <v>00818620</v>
      </c>
    </row>
    <row r="1425" spans="1:7" x14ac:dyDescent="0.25">
      <c r="A1425" s="2">
        <v>1424</v>
      </c>
      <c r="B1425" s="3">
        <v>10049</v>
      </c>
      <c r="C1425" s="5" t="s">
        <v>709</v>
      </c>
      <c r="D1425" s="5" t="s">
        <v>708</v>
      </c>
      <c r="E1425" s="5" t="s">
        <v>214</v>
      </c>
      <c r="F1425" s="3" t="s">
        <v>710</v>
      </c>
      <c r="G1425" s="3" t="str">
        <f>"01011682"</f>
        <v>01011682</v>
      </c>
    </row>
    <row r="1426" spans="1:7" x14ac:dyDescent="0.25">
      <c r="A1426" s="2">
        <v>1425</v>
      </c>
      <c r="B1426" s="3">
        <v>851</v>
      </c>
      <c r="C1426" s="5" t="s">
        <v>2781</v>
      </c>
      <c r="D1426" s="5" t="s">
        <v>428</v>
      </c>
      <c r="E1426" s="5" t="s">
        <v>41</v>
      </c>
      <c r="F1426" s="3" t="s">
        <v>4709</v>
      </c>
      <c r="G1426" s="3" t="str">
        <f>"00717602"</f>
        <v>00717602</v>
      </c>
    </row>
    <row r="1427" spans="1:7" x14ac:dyDescent="0.25">
      <c r="A1427" s="2">
        <v>1426</v>
      </c>
      <c r="B1427" s="3">
        <v>8889</v>
      </c>
      <c r="C1427" s="5" t="s">
        <v>2781</v>
      </c>
      <c r="D1427" s="5" t="s">
        <v>2780</v>
      </c>
      <c r="E1427" s="5" t="s">
        <v>14</v>
      </c>
      <c r="F1427" s="3" t="s">
        <v>2782</v>
      </c>
      <c r="G1427" s="3" t="str">
        <f>"00926590"</f>
        <v>00926590</v>
      </c>
    </row>
    <row r="1428" spans="1:7" x14ac:dyDescent="0.25">
      <c r="A1428" s="2">
        <v>1427</v>
      </c>
      <c r="B1428" s="3">
        <v>7345</v>
      </c>
      <c r="C1428" s="5" t="s">
        <v>2385</v>
      </c>
      <c r="D1428" s="5" t="s">
        <v>135</v>
      </c>
      <c r="E1428" s="5" t="s">
        <v>87</v>
      </c>
      <c r="F1428" s="3" t="s">
        <v>3270</v>
      </c>
      <c r="G1428" s="3" t="str">
        <f>"01014752"</f>
        <v>01014752</v>
      </c>
    </row>
    <row r="1429" spans="1:7" x14ac:dyDescent="0.25">
      <c r="A1429" s="2">
        <v>1428</v>
      </c>
      <c r="B1429" s="3">
        <v>2429</v>
      </c>
      <c r="C1429" s="5" t="s">
        <v>2385</v>
      </c>
      <c r="D1429" s="5" t="s">
        <v>91</v>
      </c>
      <c r="E1429" s="5" t="s">
        <v>129</v>
      </c>
      <c r="F1429" s="3" t="s">
        <v>2386</v>
      </c>
      <c r="G1429" s="3" t="str">
        <f>"00984715"</f>
        <v>00984715</v>
      </c>
    </row>
    <row r="1430" spans="1:7" x14ac:dyDescent="0.25">
      <c r="A1430" s="2">
        <v>1429</v>
      </c>
      <c r="B1430" s="3">
        <v>5584</v>
      </c>
      <c r="C1430" s="5" t="s">
        <v>2409</v>
      </c>
      <c r="D1430" s="5" t="s">
        <v>44</v>
      </c>
      <c r="E1430" s="5" t="s">
        <v>4852</v>
      </c>
      <c r="F1430" s="3" t="s">
        <v>2410</v>
      </c>
      <c r="G1430" s="3" t="str">
        <f>"01017120"</f>
        <v>01017120</v>
      </c>
    </row>
    <row r="1431" spans="1:7" x14ac:dyDescent="0.25">
      <c r="A1431" s="2">
        <v>1430</v>
      </c>
      <c r="B1431" s="3">
        <v>5459</v>
      </c>
      <c r="C1431" s="5" t="s">
        <v>1514</v>
      </c>
      <c r="D1431" s="5" t="s">
        <v>32</v>
      </c>
      <c r="E1431" s="5" t="s">
        <v>14</v>
      </c>
      <c r="F1431" s="3" t="s">
        <v>1515</v>
      </c>
      <c r="G1431" s="3" t="str">
        <f>"00442714"</f>
        <v>00442714</v>
      </c>
    </row>
    <row r="1432" spans="1:7" x14ac:dyDescent="0.25">
      <c r="A1432" s="2">
        <v>1431</v>
      </c>
      <c r="B1432" s="3">
        <v>1282</v>
      </c>
      <c r="C1432" s="5" t="s">
        <v>2738</v>
      </c>
      <c r="D1432" s="5" t="s">
        <v>87</v>
      </c>
      <c r="E1432" s="5" t="s">
        <v>32</v>
      </c>
      <c r="F1432" s="3" t="s">
        <v>2739</v>
      </c>
      <c r="G1432" s="3" t="str">
        <f>"00738566"</f>
        <v>00738566</v>
      </c>
    </row>
    <row r="1433" spans="1:7" x14ac:dyDescent="0.25">
      <c r="A1433" s="2">
        <v>1432</v>
      </c>
      <c r="B1433" s="3">
        <v>10552</v>
      </c>
      <c r="C1433" s="5" t="s">
        <v>3615</v>
      </c>
      <c r="D1433" s="5" t="s">
        <v>3614</v>
      </c>
      <c r="E1433" s="5" t="s">
        <v>11</v>
      </c>
      <c r="F1433" s="3" t="s">
        <v>3616</v>
      </c>
      <c r="G1433" s="3" t="str">
        <f>"00498206"</f>
        <v>00498206</v>
      </c>
    </row>
    <row r="1434" spans="1:7" x14ac:dyDescent="0.25">
      <c r="A1434" s="2">
        <v>1433</v>
      </c>
      <c r="B1434" s="3">
        <v>12649</v>
      </c>
      <c r="C1434" s="5" t="s">
        <v>1786</v>
      </c>
      <c r="D1434" s="5" t="s">
        <v>1785</v>
      </c>
      <c r="E1434" s="5" t="s">
        <v>14</v>
      </c>
      <c r="F1434" s="3" t="s">
        <v>1787</v>
      </c>
      <c r="G1434" s="3" t="str">
        <f>"00701759"</f>
        <v>00701759</v>
      </c>
    </row>
    <row r="1435" spans="1:7" x14ac:dyDescent="0.25">
      <c r="A1435" s="2">
        <v>1434</v>
      </c>
      <c r="B1435" s="3">
        <v>7097</v>
      </c>
      <c r="C1435" s="5" t="s">
        <v>1647</v>
      </c>
      <c r="D1435" s="5" t="s">
        <v>416</v>
      </c>
      <c r="E1435" s="5" t="s">
        <v>44</v>
      </c>
      <c r="F1435" s="3" t="s">
        <v>1648</v>
      </c>
      <c r="G1435" s="3" t="str">
        <f>"00424183"</f>
        <v>00424183</v>
      </c>
    </row>
    <row r="1436" spans="1:7" x14ac:dyDescent="0.25">
      <c r="A1436" s="2">
        <v>1435</v>
      </c>
      <c r="B1436" s="3">
        <v>4293</v>
      </c>
      <c r="C1436" s="5" t="s">
        <v>1683</v>
      </c>
      <c r="D1436" s="5" t="s">
        <v>382</v>
      </c>
      <c r="E1436" s="5" t="s">
        <v>32</v>
      </c>
      <c r="F1436" s="3">
        <v>710289017</v>
      </c>
      <c r="G1436" s="3" t="str">
        <f>"01011397"</f>
        <v>01011397</v>
      </c>
    </row>
    <row r="1437" spans="1:7" x14ac:dyDescent="0.25">
      <c r="A1437" s="2">
        <v>1436</v>
      </c>
      <c r="B1437" s="3">
        <v>2986</v>
      </c>
      <c r="C1437" s="5" t="s">
        <v>1683</v>
      </c>
      <c r="D1437" s="5" t="s">
        <v>375</v>
      </c>
      <c r="E1437" s="5" t="s">
        <v>52</v>
      </c>
      <c r="F1437" s="3" t="s">
        <v>1684</v>
      </c>
      <c r="G1437" s="3" t="str">
        <f>"00983167"</f>
        <v>00983167</v>
      </c>
    </row>
    <row r="1438" spans="1:7" x14ac:dyDescent="0.25">
      <c r="A1438" s="2">
        <v>1437</v>
      </c>
      <c r="B1438" s="3">
        <v>2362</v>
      </c>
      <c r="C1438" s="5" t="s">
        <v>1629</v>
      </c>
      <c r="D1438" s="5" t="s">
        <v>1432</v>
      </c>
      <c r="E1438" s="5" t="s">
        <v>52</v>
      </c>
      <c r="F1438" s="3" t="s">
        <v>1630</v>
      </c>
      <c r="G1438" s="3" t="str">
        <f>"201502002175"</f>
        <v>201502002175</v>
      </c>
    </row>
    <row r="1439" spans="1:7" x14ac:dyDescent="0.25">
      <c r="A1439" s="2">
        <v>1438</v>
      </c>
      <c r="B1439" s="3">
        <v>2267</v>
      </c>
      <c r="C1439" s="5" t="s">
        <v>2972</v>
      </c>
      <c r="D1439" s="5" t="s">
        <v>32</v>
      </c>
      <c r="E1439" s="5" t="s">
        <v>52</v>
      </c>
      <c r="F1439" s="3" t="s">
        <v>2973</v>
      </c>
      <c r="G1439" s="3" t="str">
        <f>"00985107"</f>
        <v>00985107</v>
      </c>
    </row>
    <row r="1440" spans="1:7" x14ac:dyDescent="0.25">
      <c r="A1440" s="2">
        <v>1439</v>
      </c>
      <c r="B1440" s="3">
        <v>7918</v>
      </c>
      <c r="C1440" s="5" t="s">
        <v>3836</v>
      </c>
      <c r="D1440" s="5" t="s">
        <v>66</v>
      </c>
      <c r="E1440" s="5" t="s">
        <v>129</v>
      </c>
      <c r="F1440" s="3" t="s">
        <v>3837</v>
      </c>
      <c r="G1440" s="3" t="str">
        <f>"00796425"</f>
        <v>00796425</v>
      </c>
    </row>
    <row r="1441" spans="1:7" x14ac:dyDescent="0.25">
      <c r="A1441" s="2">
        <v>1440</v>
      </c>
      <c r="B1441" s="3">
        <v>4932</v>
      </c>
      <c r="C1441" s="5" t="s">
        <v>3093</v>
      </c>
      <c r="D1441" s="5" t="s">
        <v>87</v>
      </c>
      <c r="E1441" s="5" t="s">
        <v>214</v>
      </c>
      <c r="F1441" s="3" t="s">
        <v>3094</v>
      </c>
      <c r="G1441" s="3" t="str">
        <f>"00547023"</f>
        <v>00547023</v>
      </c>
    </row>
    <row r="1442" spans="1:7" x14ac:dyDescent="0.25">
      <c r="A1442" s="2">
        <v>1441</v>
      </c>
      <c r="B1442" s="3">
        <v>3533</v>
      </c>
      <c r="C1442" s="5" t="s">
        <v>2680</v>
      </c>
      <c r="D1442" s="5" t="s">
        <v>129</v>
      </c>
      <c r="E1442" s="5" t="s">
        <v>52</v>
      </c>
      <c r="F1442" s="3" t="s">
        <v>2681</v>
      </c>
      <c r="G1442" s="3" t="str">
        <f>"00986455"</f>
        <v>00986455</v>
      </c>
    </row>
    <row r="1443" spans="1:7" x14ac:dyDescent="0.25">
      <c r="A1443" s="2">
        <v>1442</v>
      </c>
      <c r="B1443" s="3">
        <v>10863</v>
      </c>
      <c r="C1443" s="5" t="s">
        <v>3127</v>
      </c>
      <c r="D1443" s="5" t="s">
        <v>126</v>
      </c>
      <c r="E1443" s="5" t="s">
        <v>207</v>
      </c>
      <c r="F1443" s="3" t="s">
        <v>3128</v>
      </c>
      <c r="G1443" s="3" t="str">
        <f>"00887177"</f>
        <v>00887177</v>
      </c>
    </row>
    <row r="1444" spans="1:7" x14ac:dyDescent="0.25">
      <c r="A1444" s="2">
        <v>1443</v>
      </c>
      <c r="B1444" s="3">
        <v>11046</v>
      </c>
      <c r="C1444" s="5" t="s">
        <v>3050</v>
      </c>
      <c r="D1444" s="5" t="s">
        <v>129</v>
      </c>
      <c r="E1444" s="5" t="s">
        <v>32</v>
      </c>
      <c r="F1444" s="3" t="s">
        <v>3051</v>
      </c>
      <c r="G1444" s="3" t="str">
        <f>"00880301"</f>
        <v>00880301</v>
      </c>
    </row>
    <row r="1445" spans="1:7" x14ac:dyDescent="0.25">
      <c r="A1445" s="2">
        <v>1444</v>
      </c>
      <c r="B1445" s="3">
        <v>191</v>
      </c>
      <c r="C1445" s="5" t="s">
        <v>2212</v>
      </c>
      <c r="D1445" s="5" t="s">
        <v>773</v>
      </c>
      <c r="E1445" s="5" t="s">
        <v>184</v>
      </c>
      <c r="F1445" s="3" t="s">
        <v>2213</v>
      </c>
      <c r="G1445" s="3" t="str">
        <f>"00970208"</f>
        <v>00970208</v>
      </c>
    </row>
    <row r="1446" spans="1:7" x14ac:dyDescent="0.25">
      <c r="A1446" s="2">
        <v>1445</v>
      </c>
      <c r="B1446" s="3">
        <v>7805</v>
      </c>
      <c r="C1446" s="5" t="s">
        <v>3018</v>
      </c>
      <c r="D1446" s="5" t="s">
        <v>70</v>
      </c>
      <c r="E1446" s="5" t="s">
        <v>52</v>
      </c>
      <c r="F1446" s="3" t="s">
        <v>3019</v>
      </c>
      <c r="G1446" s="3" t="str">
        <f>"00978267"</f>
        <v>00978267</v>
      </c>
    </row>
    <row r="1447" spans="1:7" x14ac:dyDescent="0.25">
      <c r="A1447" s="2">
        <v>1446</v>
      </c>
      <c r="B1447" s="3">
        <v>2199</v>
      </c>
      <c r="C1447" s="5" t="s">
        <v>1103</v>
      </c>
      <c r="D1447" s="5" t="s">
        <v>32</v>
      </c>
      <c r="E1447" s="5" t="s">
        <v>184</v>
      </c>
      <c r="F1447" s="3" t="s">
        <v>2460</v>
      </c>
      <c r="G1447" s="3" t="str">
        <f>"00735458"</f>
        <v>00735458</v>
      </c>
    </row>
    <row r="1448" spans="1:7" x14ac:dyDescent="0.25">
      <c r="A1448" s="2">
        <v>1447</v>
      </c>
      <c r="B1448" s="3">
        <v>586</v>
      </c>
      <c r="C1448" s="5" t="s">
        <v>1103</v>
      </c>
      <c r="D1448" s="5" t="s">
        <v>87</v>
      </c>
      <c r="E1448" s="5" t="s">
        <v>2659</v>
      </c>
      <c r="F1448" s="3" t="s">
        <v>1104</v>
      </c>
      <c r="G1448" s="3" t="str">
        <f>"00220586"</f>
        <v>00220586</v>
      </c>
    </row>
    <row r="1449" spans="1:7" x14ac:dyDescent="0.25">
      <c r="A1449" s="2">
        <v>1448</v>
      </c>
      <c r="B1449" s="3">
        <v>4576</v>
      </c>
      <c r="C1449" s="5" t="s">
        <v>1103</v>
      </c>
      <c r="D1449" s="5" t="s">
        <v>52</v>
      </c>
      <c r="E1449" s="5" t="s">
        <v>87</v>
      </c>
      <c r="F1449" s="3" t="s">
        <v>4352</v>
      </c>
      <c r="G1449" s="3" t="str">
        <f>"00985620"</f>
        <v>00985620</v>
      </c>
    </row>
    <row r="1450" spans="1:7" x14ac:dyDescent="0.25">
      <c r="A1450" s="2">
        <v>1449</v>
      </c>
      <c r="B1450" s="3">
        <v>11190</v>
      </c>
      <c r="C1450" s="5" t="s">
        <v>1103</v>
      </c>
      <c r="D1450" s="5" t="s">
        <v>1471</v>
      </c>
      <c r="E1450" s="5" t="s">
        <v>52</v>
      </c>
      <c r="F1450" s="3" t="s">
        <v>1472</v>
      </c>
      <c r="G1450" s="3" t="str">
        <f>"00972705"</f>
        <v>00972705</v>
      </c>
    </row>
    <row r="1451" spans="1:7" x14ac:dyDescent="0.25">
      <c r="A1451" s="2">
        <v>1450</v>
      </c>
      <c r="B1451" s="3">
        <v>8553</v>
      </c>
      <c r="C1451" s="5" t="s">
        <v>1103</v>
      </c>
      <c r="D1451" s="5" t="s">
        <v>129</v>
      </c>
      <c r="E1451" s="5" t="s">
        <v>70</v>
      </c>
      <c r="F1451" s="3" t="s">
        <v>2886</v>
      </c>
      <c r="G1451" s="3" t="str">
        <f>"00677873"</f>
        <v>00677873</v>
      </c>
    </row>
    <row r="1452" spans="1:7" x14ac:dyDescent="0.25">
      <c r="A1452" s="2">
        <v>1451</v>
      </c>
      <c r="B1452" s="3">
        <v>810</v>
      </c>
      <c r="C1452" s="5" t="s">
        <v>4472</v>
      </c>
      <c r="D1452" s="5" t="s">
        <v>32</v>
      </c>
      <c r="E1452" s="5" t="s">
        <v>11</v>
      </c>
      <c r="F1452" s="3">
        <v>2740858</v>
      </c>
      <c r="G1452" s="3" t="str">
        <f>"00985057"</f>
        <v>00985057</v>
      </c>
    </row>
    <row r="1453" spans="1:7" x14ac:dyDescent="0.25">
      <c r="A1453" s="2">
        <v>1452</v>
      </c>
      <c r="B1453" s="3">
        <v>4233</v>
      </c>
      <c r="C1453" s="5" t="s">
        <v>1727</v>
      </c>
      <c r="D1453" s="5" t="s">
        <v>126</v>
      </c>
      <c r="E1453" s="5" t="s">
        <v>517</v>
      </c>
      <c r="F1453" s="3" t="s">
        <v>1728</v>
      </c>
      <c r="G1453" s="3" t="str">
        <f>"00983970"</f>
        <v>00983970</v>
      </c>
    </row>
    <row r="1454" spans="1:7" x14ac:dyDescent="0.25">
      <c r="A1454" s="2">
        <v>1453</v>
      </c>
      <c r="B1454" s="3">
        <v>2185</v>
      </c>
      <c r="C1454" s="5" t="s">
        <v>1480</v>
      </c>
      <c r="D1454" s="5" t="s">
        <v>1479</v>
      </c>
      <c r="E1454" s="5" t="s">
        <v>44</v>
      </c>
      <c r="F1454" s="3" t="s">
        <v>1481</v>
      </c>
      <c r="G1454" s="3" t="str">
        <f>"00799870"</f>
        <v>00799870</v>
      </c>
    </row>
    <row r="1455" spans="1:7" x14ac:dyDescent="0.25">
      <c r="A1455" s="2">
        <v>1454</v>
      </c>
      <c r="B1455" s="3">
        <v>8853</v>
      </c>
      <c r="C1455" s="5" t="s">
        <v>1200</v>
      </c>
      <c r="D1455" s="5" t="s">
        <v>1199</v>
      </c>
      <c r="E1455" s="5" t="s">
        <v>11</v>
      </c>
      <c r="F1455" s="3" t="s">
        <v>1201</v>
      </c>
      <c r="G1455" s="3" t="str">
        <f>"00978527"</f>
        <v>00978527</v>
      </c>
    </row>
    <row r="1456" spans="1:7" x14ac:dyDescent="0.25">
      <c r="A1456" s="2">
        <v>1455</v>
      </c>
      <c r="B1456" s="3">
        <v>12666</v>
      </c>
      <c r="C1456" s="5" t="s">
        <v>1545</v>
      </c>
      <c r="D1456" s="5" t="s">
        <v>11</v>
      </c>
      <c r="E1456" s="5" t="s">
        <v>52</v>
      </c>
      <c r="F1456" s="3" t="s">
        <v>4706</v>
      </c>
      <c r="G1456" s="3" t="str">
        <f>"00816428"</f>
        <v>00816428</v>
      </c>
    </row>
    <row r="1457" spans="1:7" x14ac:dyDescent="0.25">
      <c r="A1457" s="2">
        <v>1456</v>
      </c>
      <c r="B1457" s="3">
        <v>5206</v>
      </c>
      <c r="C1457" s="5" t="s">
        <v>1545</v>
      </c>
      <c r="D1457" s="5" t="s">
        <v>11</v>
      </c>
      <c r="E1457" s="5" t="s">
        <v>102</v>
      </c>
      <c r="F1457" s="3" t="s">
        <v>1546</v>
      </c>
      <c r="G1457" s="3" t="str">
        <f>"00983399"</f>
        <v>00983399</v>
      </c>
    </row>
    <row r="1458" spans="1:7" x14ac:dyDescent="0.25">
      <c r="A1458" s="2">
        <v>1457</v>
      </c>
      <c r="B1458" s="3">
        <v>12175</v>
      </c>
      <c r="C1458" s="5" t="s">
        <v>3236</v>
      </c>
      <c r="D1458" s="5" t="s">
        <v>3235</v>
      </c>
      <c r="E1458" s="5" t="s">
        <v>129</v>
      </c>
      <c r="F1458" s="3" t="s">
        <v>3237</v>
      </c>
      <c r="G1458" s="3" t="str">
        <f>"00972922"</f>
        <v>00972922</v>
      </c>
    </row>
    <row r="1459" spans="1:7" x14ac:dyDescent="0.25">
      <c r="A1459" s="2">
        <v>1458</v>
      </c>
      <c r="B1459" s="3">
        <v>239</v>
      </c>
      <c r="C1459" s="5" t="s">
        <v>2984</v>
      </c>
      <c r="D1459" s="5" t="s">
        <v>32</v>
      </c>
      <c r="E1459" s="5" t="s">
        <v>214</v>
      </c>
      <c r="F1459" s="3" t="s">
        <v>2985</v>
      </c>
      <c r="G1459" s="3" t="str">
        <f>"01014633"</f>
        <v>01014633</v>
      </c>
    </row>
    <row r="1460" spans="1:7" x14ac:dyDescent="0.25">
      <c r="A1460" s="2">
        <v>1459</v>
      </c>
      <c r="B1460" s="3">
        <v>11016</v>
      </c>
      <c r="C1460" s="5" t="s">
        <v>2760</v>
      </c>
      <c r="D1460" s="5" t="s">
        <v>2759</v>
      </c>
      <c r="E1460" s="5" t="s">
        <v>113</v>
      </c>
      <c r="F1460" s="3" t="s">
        <v>2761</v>
      </c>
      <c r="G1460" s="3" t="str">
        <f>"00819254"</f>
        <v>00819254</v>
      </c>
    </row>
    <row r="1461" spans="1:7" x14ac:dyDescent="0.25">
      <c r="A1461" s="2">
        <v>1460</v>
      </c>
      <c r="B1461" s="3">
        <v>8706</v>
      </c>
      <c r="C1461" s="5" t="s">
        <v>1572</v>
      </c>
      <c r="D1461" s="5" t="s">
        <v>5</v>
      </c>
      <c r="E1461" s="5" t="s">
        <v>129</v>
      </c>
      <c r="F1461" s="3" t="s">
        <v>1573</v>
      </c>
      <c r="G1461" s="3" t="str">
        <f>"00842074"</f>
        <v>00842074</v>
      </c>
    </row>
    <row r="1462" spans="1:7" x14ac:dyDescent="0.25">
      <c r="A1462" s="2">
        <v>1461</v>
      </c>
      <c r="B1462" s="3">
        <v>6065</v>
      </c>
      <c r="C1462" s="5" t="s">
        <v>954</v>
      </c>
      <c r="D1462" s="5" t="s">
        <v>84</v>
      </c>
      <c r="E1462" s="5" t="s">
        <v>1432</v>
      </c>
      <c r="F1462" s="3" t="s">
        <v>955</v>
      </c>
      <c r="G1462" s="3" t="str">
        <f>"01007541"</f>
        <v>01007541</v>
      </c>
    </row>
    <row r="1463" spans="1:7" x14ac:dyDescent="0.25">
      <c r="A1463" s="2">
        <v>1462</v>
      </c>
      <c r="B1463" s="3">
        <v>7629</v>
      </c>
      <c r="C1463" s="5" t="s">
        <v>2515</v>
      </c>
      <c r="D1463" s="5" t="s">
        <v>416</v>
      </c>
      <c r="E1463" s="5" t="s">
        <v>27</v>
      </c>
      <c r="F1463" s="3" t="s">
        <v>2516</v>
      </c>
      <c r="G1463" s="3" t="str">
        <f>"01017944"</f>
        <v>01017944</v>
      </c>
    </row>
    <row r="1464" spans="1:7" x14ac:dyDescent="0.25">
      <c r="A1464" s="2">
        <v>1463</v>
      </c>
      <c r="B1464" s="3">
        <v>305</v>
      </c>
      <c r="C1464" s="5" t="s">
        <v>3704</v>
      </c>
      <c r="D1464" s="5" t="s">
        <v>2103</v>
      </c>
      <c r="E1464" s="5" t="s">
        <v>5</v>
      </c>
      <c r="F1464" s="3" t="s">
        <v>3705</v>
      </c>
      <c r="G1464" s="3" t="str">
        <f>"00817907"</f>
        <v>00817907</v>
      </c>
    </row>
    <row r="1465" spans="1:7" x14ac:dyDescent="0.25">
      <c r="A1465" s="2">
        <v>1464</v>
      </c>
      <c r="B1465" s="3">
        <v>11702</v>
      </c>
      <c r="C1465" s="5" t="s">
        <v>4134</v>
      </c>
      <c r="D1465" s="5" t="s">
        <v>490</v>
      </c>
      <c r="E1465" s="5" t="s">
        <v>951</v>
      </c>
      <c r="F1465" s="3" t="s">
        <v>4135</v>
      </c>
      <c r="G1465" s="3" t="str">
        <f>"00108709"</f>
        <v>00108709</v>
      </c>
    </row>
    <row r="1466" spans="1:7" x14ac:dyDescent="0.25">
      <c r="A1466" s="2">
        <v>1465</v>
      </c>
      <c r="B1466" s="3">
        <v>5133</v>
      </c>
      <c r="C1466" s="5" t="s">
        <v>12</v>
      </c>
      <c r="D1466" s="5" t="s">
        <v>11</v>
      </c>
      <c r="E1466" s="5" t="s">
        <v>2251</v>
      </c>
      <c r="F1466" s="3" t="s">
        <v>13</v>
      </c>
      <c r="G1466" s="3" t="str">
        <f>"00137177"</f>
        <v>00137177</v>
      </c>
    </row>
    <row r="1467" spans="1:7" x14ac:dyDescent="0.25">
      <c r="A1467" s="2">
        <v>1466</v>
      </c>
      <c r="B1467" s="3">
        <v>10448</v>
      </c>
      <c r="C1467" s="5" t="s">
        <v>2423</v>
      </c>
      <c r="D1467" s="5" t="s">
        <v>2422</v>
      </c>
      <c r="E1467" s="5" t="s">
        <v>87</v>
      </c>
      <c r="F1467" s="3" t="s">
        <v>2424</v>
      </c>
      <c r="G1467" s="3" t="str">
        <f>"01017952"</f>
        <v>01017952</v>
      </c>
    </row>
    <row r="1468" spans="1:7" x14ac:dyDescent="0.25">
      <c r="A1468" s="2">
        <v>1467</v>
      </c>
      <c r="B1468" s="3">
        <v>2244</v>
      </c>
      <c r="C1468" s="5" t="s">
        <v>817</v>
      </c>
      <c r="D1468" s="5" t="s">
        <v>816</v>
      </c>
      <c r="E1468" s="5" t="s">
        <v>2204</v>
      </c>
      <c r="F1468" s="3" t="s">
        <v>818</v>
      </c>
      <c r="G1468" s="3" t="str">
        <f>"01012029"</f>
        <v>01012029</v>
      </c>
    </row>
    <row r="1469" spans="1:7" x14ac:dyDescent="0.25">
      <c r="A1469" s="2">
        <v>1468</v>
      </c>
      <c r="B1469" s="3">
        <v>7261</v>
      </c>
      <c r="C1469" s="5" t="s">
        <v>1928</v>
      </c>
      <c r="D1469" s="5" t="s">
        <v>11</v>
      </c>
      <c r="E1469" s="5" t="s">
        <v>14</v>
      </c>
      <c r="F1469" s="3" t="s">
        <v>1929</v>
      </c>
      <c r="G1469" s="3" t="str">
        <f>"201507004466"</f>
        <v>201507004466</v>
      </c>
    </row>
    <row r="1470" spans="1:7" x14ac:dyDescent="0.25">
      <c r="A1470" s="2">
        <v>1469</v>
      </c>
      <c r="B1470" s="3">
        <v>9105</v>
      </c>
      <c r="C1470" s="5" t="s">
        <v>3346</v>
      </c>
      <c r="D1470" s="5" t="s">
        <v>3345</v>
      </c>
      <c r="E1470" s="5" t="s">
        <v>44</v>
      </c>
      <c r="F1470" s="3" t="s">
        <v>3347</v>
      </c>
      <c r="G1470" s="3" t="str">
        <f>"01006206"</f>
        <v>01006206</v>
      </c>
    </row>
    <row r="1471" spans="1:7" x14ac:dyDescent="0.25">
      <c r="A1471" s="2">
        <v>1470</v>
      </c>
      <c r="B1471" s="3">
        <v>7791</v>
      </c>
      <c r="C1471" s="5" t="s">
        <v>2980</v>
      </c>
      <c r="D1471" s="5" t="s">
        <v>66</v>
      </c>
      <c r="E1471" s="5" t="s">
        <v>11</v>
      </c>
      <c r="F1471" s="3" t="s">
        <v>2981</v>
      </c>
      <c r="G1471" s="3" t="str">
        <f>"00986590"</f>
        <v>00986590</v>
      </c>
    </row>
    <row r="1472" spans="1:7" x14ac:dyDescent="0.25">
      <c r="A1472" s="2">
        <v>1471</v>
      </c>
      <c r="B1472" s="3">
        <v>11898</v>
      </c>
      <c r="C1472" s="5" t="s">
        <v>1398</v>
      </c>
      <c r="D1472" s="5" t="s">
        <v>1397</v>
      </c>
      <c r="E1472" s="5" t="s">
        <v>2655</v>
      </c>
      <c r="F1472" s="3" t="s">
        <v>1399</v>
      </c>
      <c r="G1472" s="3" t="str">
        <f>"00936234"</f>
        <v>00936234</v>
      </c>
    </row>
    <row r="1473" spans="1:7" x14ac:dyDescent="0.25">
      <c r="A1473" s="2">
        <v>1472</v>
      </c>
      <c r="B1473" s="3">
        <v>4016</v>
      </c>
      <c r="C1473" s="5" t="s">
        <v>1751</v>
      </c>
      <c r="D1473" s="5" t="s">
        <v>52</v>
      </c>
      <c r="E1473" s="5" t="s">
        <v>87</v>
      </c>
      <c r="F1473" s="3">
        <v>710014012</v>
      </c>
      <c r="G1473" s="3" t="str">
        <f>"01011022"</f>
        <v>01011022</v>
      </c>
    </row>
    <row r="1474" spans="1:7" x14ac:dyDescent="0.25">
      <c r="A1474" s="2">
        <v>1473</v>
      </c>
      <c r="B1474" s="3">
        <v>8718</v>
      </c>
      <c r="C1474" s="5" t="s">
        <v>1751</v>
      </c>
      <c r="D1474" s="5" t="s">
        <v>5</v>
      </c>
      <c r="E1474" s="5" t="s">
        <v>11</v>
      </c>
      <c r="F1474" s="3" t="s">
        <v>1752</v>
      </c>
      <c r="G1474" s="3" t="str">
        <f>"00444083"</f>
        <v>00444083</v>
      </c>
    </row>
    <row r="1475" spans="1:7" x14ac:dyDescent="0.25">
      <c r="A1475" s="2">
        <v>1474</v>
      </c>
      <c r="B1475" s="3">
        <v>2428</v>
      </c>
      <c r="C1475" s="5" t="s">
        <v>1239</v>
      </c>
      <c r="D1475" s="5" t="s">
        <v>1238</v>
      </c>
      <c r="E1475" s="5" t="s">
        <v>4817</v>
      </c>
      <c r="F1475" s="3" t="s">
        <v>1240</v>
      </c>
      <c r="G1475" s="3" t="str">
        <f>"00316334"</f>
        <v>00316334</v>
      </c>
    </row>
    <row r="1476" spans="1:7" x14ac:dyDescent="0.25">
      <c r="A1476" s="2">
        <v>1475</v>
      </c>
      <c r="B1476" s="3">
        <v>11945</v>
      </c>
      <c r="C1476" s="5" t="s">
        <v>848</v>
      </c>
      <c r="D1476" s="5" t="s">
        <v>847</v>
      </c>
      <c r="E1476" s="5" t="s">
        <v>214</v>
      </c>
      <c r="F1476" s="3">
        <v>24321</v>
      </c>
      <c r="G1476" s="3" t="str">
        <f>"00370682"</f>
        <v>00370682</v>
      </c>
    </row>
    <row r="1477" spans="1:7" x14ac:dyDescent="0.25">
      <c r="A1477" s="2">
        <v>1476</v>
      </c>
      <c r="B1477" s="3">
        <v>9282</v>
      </c>
      <c r="C1477" s="5" t="s">
        <v>191</v>
      </c>
      <c r="D1477" s="5" t="s">
        <v>32</v>
      </c>
      <c r="E1477" s="5" t="s">
        <v>44</v>
      </c>
      <c r="F1477" s="3" t="s">
        <v>310</v>
      </c>
      <c r="G1477" s="3" t="str">
        <f>"00806863"</f>
        <v>00806863</v>
      </c>
    </row>
    <row r="1478" spans="1:7" x14ac:dyDescent="0.25">
      <c r="A1478" s="2">
        <v>1477</v>
      </c>
      <c r="B1478" s="3">
        <v>4619</v>
      </c>
      <c r="C1478" s="5" t="s">
        <v>191</v>
      </c>
      <c r="D1478" s="5" t="s">
        <v>190</v>
      </c>
      <c r="E1478" s="5" t="s">
        <v>129</v>
      </c>
      <c r="F1478" s="3" t="s">
        <v>192</v>
      </c>
      <c r="G1478" s="3" t="str">
        <f>"00327419"</f>
        <v>00327419</v>
      </c>
    </row>
    <row r="1479" spans="1:7" x14ac:dyDescent="0.25">
      <c r="A1479" s="2">
        <v>1478</v>
      </c>
      <c r="B1479" s="3">
        <v>13059</v>
      </c>
      <c r="C1479" s="5" t="s">
        <v>191</v>
      </c>
      <c r="D1479" s="5" t="s">
        <v>14</v>
      </c>
      <c r="E1479" s="5" t="s">
        <v>52</v>
      </c>
      <c r="F1479" s="3" t="s">
        <v>1864</v>
      </c>
      <c r="G1479" s="3" t="str">
        <f>"00973407"</f>
        <v>00973407</v>
      </c>
    </row>
    <row r="1480" spans="1:7" x14ac:dyDescent="0.25">
      <c r="A1480" s="2">
        <v>1479</v>
      </c>
      <c r="B1480" s="3">
        <v>12320</v>
      </c>
      <c r="C1480" s="5" t="s">
        <v>569</v>
      </c>
      <c r="D1480" s="5" t="s">
        <v>366</v>
      </c>
      <c r="E1480" s="5" t="s">
        <v>52</v>
      </c>
      <c r="F1480" s="3" t="s">
        <v>570</v>
      </c>
      <c r="G1480" s="3" t="str">
        <f>"201510003618"</f>
        <v>201510003618</v>
      </c>
    </row>
    <row r="1481" spans="1:7" x14ac:dyDescent="0.25">
      <c r="A1481" s="2">
        <v>1480</v>
      </c>
      <c r="B1481" s="3">
        <v>4951</v>
      </c>
      <c r="C1481" s="5" t="s">
        <v>569</v>
      </c>
      <c r="D1481" s="5" t="s">
        <v>126</v>
      </c>
      <c r="E1481" s="5" t="s">
        <v>4839</v>
      </c>
      <c r="F1481" s="3" t="s">
        <v>1967</v>
      </c>
      <c r="G1481" s="3" t="str">
        <f>"00748664"</f>
        <v>00748664</v>
      </c>
    </row>
    <row r="1482" spans="1:7" x14ac:dyDescent="0.25">
      <c r="A1482" s="2">
        <v>1481</v>
      </c>
      <c r="B1482" s="3">
        <v>8793</v>
      </c>
      <c r="C1482" s="5" t="s">
        <v>3348</v>
      </c>
      <c r="D1482" s="5" t="s">
        <v>162</v>
      </c>
      <c r="E1482" s="5" t="s">
        <v>2628</v>
      </c>
      <c r="F1482" s="3" t="s">
        <v>3349</v>
      </c>
      <c r="G1482" s="3" t="str">
        <f>"00087435"</f>
        <v>00087435</v>
      </c>
    </row>
    <row r="1483" spans="1:7" x14ac:dyDescent="0.25">
      <c r="A1483" s="2">
        <v>1482</v>
      </c>
      <c r="B1483" s="3">
        <v>2505</v>
      </c>
      <c r="C1483" s="5" t="s">
        <v>617</v>
      </c>
      <c r="D1483" s="5" t="s">
        <v>214</v>
      </c>
      <c r="E1483" s="5" t="s">
        <v>2786</v>
      </c>
      <c r="F1483" s="3" t="s">
        <v>4638</v>
      </c>
      <c r="G1483" s="3" t="str">
        <f>"00818985"</f>
        <v>00818985</v>
      </c>
    </row>
    <row r="1484" spans="1:7" x14ac:dyDescent="0.25">
      <c r="A1484" s="2">
        <v>1483</v>
      </c>
      <c r="B1484" s="3">
        <v>4043</v>
      </c>
      <c r="C1484" s="5" t="s">
        <v>617</v>
      </c>
      <c r="D1484" s="5" t="s">
        <v>1194</v>
      </c>
      <c r="E1484" s="5" t="s">
        <v>5</v>
      </c>
      <c r="F1484" s="3" t="s">
        <v>4237</v>
      </c>
      <c r="G1484" s="3" t="str">
        <f>"01007477"</f>
        <v>01007477</v>
      </c>
    </row>
    <row r="1485" spans="1:7" x14ac:dyDescent="0.25">
      <c r="A1485" s="2">
        <v>1484</v>
      </c>
      <c r="B1485" s="3">
        <v>8287</v>
      </c>
      <c r="C1485" s="5" t="s">
        <v>617</v>
      </c>
      <c r="D1485" s="5" t="s">
        <v>24</v>
      </c>
      <c r="E1485" s="5" t="s">
        <v>94</v>
      </c>
      <c r="F1485" s="3" t="s">
        <v>3179</v>
      </c>
      <c r="G1485" s="3" t="str">
        <f>"01017210"</f>
        <v>01017210</v>
      </c>
    </row>
    <row r="1486" spans="1:7" x14ac:dyDescent="0.25">
      <c r="A1486" s="2">
        <v>1485</v>
      </c>
      <c r="B1486" s="3">
        <v>6484</v>
      </c>
      <c r="C1486" s="5" t="s">
        <v>617</v>
      </c>
      <c r="D1486" s="5" t="s">
        <v>616</v>
      </c>
      <c r="E1486" s="5" t="s">
        <v>4800</v>
      </c>
      <c r="F1486" s="3" t="s">
        <v>618</v>
      </c>
      <c r="G1486" s="3" t="str">
        <f>"00886075"</f>
        <v>00886075</v>
      </c>
    </row>
    <row r="1487" spans="1:7" x14ac:dyDescent="0.25">
      <c r="A1487" s="2">
        <v>1486</v>
      </c>
      <c r="B1487" s="3">
        <v>3256</v>
      </c>
      <c r="C1487" s="5" t="s">
        <v>617</v>
      </c>
      <c r="D1487" s="5" t="s">
        <v>773</v>
      </c>
      <c r="E1487" s="5" t="s">
        <v>11</v>
      </c>
      <c r="F1487" s="3" t="s">
        <v>3598</v>
      </c>
      <c r="G1487" s="3" t="str">
        <f>"01003200"</f>
        <v>01003200</v>
      </c>
    </row>
    <row r="1488" spans="1:7" x14ac:dyDescent="0.25">
      <c r="A1488" s="2">
        <v>1487</v>
      </c>
      <c r="B1488" s="3">
        <v>10658</v>
      </c>
      <c r="C1488" s="5" t="s">
        <v>617</v>
      </c>
      <c r="D1488" s="5" t="s">
        <v>63</v>
      </c>
      <c r="E1488" s="5" t="s">
        <v>214</v>
      </c>
      <c r="F1488" s="3" t="s">
        <v>4465</v>
      </c>
      <c r="G1488" s="3" t="str">
        <f>"01015642"</f>
        <v>01015642</v>
      </c>
    </row>
    <row r="1489" spans="1:7" x14ac:dyDescent="0.25">
      <c r="A1489" s="2">
        <v>1488</v>
      </c>
      <c r="B1489" s="3">
        <v>4008</v>
      </c>
      <c r="C1489" s="5" t="s">
        <v>617</v>
      </c>
      <c r="D1489" s="5" t="s">
        <v>11</v>
      </c>
      <c r="E1489" s="5" t="s">
        <v>27</v>
      </c>
      <c r="F1489" s="3" t="s">
        <v>1636</v>
      </c>
      <c r="G1489" s="3" t="str">
        <f>"00929148"</f>
        <v>00929148</v>
      </c>
    </row>
    <row r="1490" spans="1:7" x14ac:dyDescent="0.25">
      <c r="A1490" s="2">
        <v>1489</v>
      </c>
      <c r="B1490" s="3">
        <v>3807</v>
      </c>
      <c r="C1490" s="5" t="s">
        <v>1343</v>
      </c>
      <c r="D1490" s="5" t="s">
        <v>27</v>
      </c>
      <c r="E1490" s="5" t="s">
        <v>32</v>
      </c>
      <c r="F1490" s="3" t="s">
        <v>1344</v>
      </c>
      <c r="G1490" s="3" t="str">
        <f>"00329475"</f>
        <v>00329475</v>
      </c>
    </row>
    <row r="1491" spans="1:7" x14ac:dyDescent="0.25">
      <c r="A1491" s="2">
        <v>1490</v>
      </c>
      <c r="B1491" s="3">
        <v>10725</v>
      </c>
      <c r="C1491" s="5" t="s">
        <v>2173</v>
      </c>
      <c r="D1491" s="5" t="s">
        <v>24</v>
      </c>
      <c r="E1491" s="5" t="s">
        <v>87</v>
      </c>
      <c r="F1491" s="3" t="s">
        <v>2911</v>
      </c>
      <c r="G1491" s="3" t="str">
        <f>"00977166"</f>
        <v>00977166</v>
      </c>
    </row>
    <row r="1492" spans="1:7" x14ac:dyDescent="0.25">
      <c r="A1492" s="2">
        <v>1491</v>
      </c>
      <c r="B1492" s="3">
        <v>12754</v>
      </c>
      <c r="C1492" s="5" t="s">
        <v>2173</v>
      </c>
      <c r="D1492" s="5" t="s">
        <v>2172</v>
      </c>
      <c r="E1492" s="5" t="s">
        <v>705</v>
      </c>
      <c r="F1492" s="3" t="s">
        <v>2174</v>
      </c>
      <c r="G1492" s="3" t="str">
        <f>"00975956"</f>
        <v>00975956</v>
      </c>
    </row>
    <row r="1493" spans="1:7" x14ac:dyDescent="0.25">
      <c r="A1493" s="2">
        <v>1492</v>
      </c>
      <c r="B1493" s="3">
        <v>4445</v>
      </c>
      <c r="C1493" s="5" t="s">
        <v>3420</v>
      </c>
      <c r="D1493" s="5" t="s">
        <v>87</v>
      </c>
      <c r="E1493" s="5" t="s">
        <v>52</v>
      </c>
      <c r="F1493" s="3" t="s">
        <v>3421</v>
      </c>
      <c r="G1493" s="3" t="str">
        <f>"00985932"</f>
        <v>00985932</v>
      </c>
    </row>
    <row r="1494" spans="1:7" x14ac:dyDescent="0.25">
      <c r="A1494" s="2">
        <v>1493</v>
      </c>
      <c r="B1494" s="3">
        <v>4168</v>
      </c>
      <c r="C1494" s="5" t="s">
        <v>378</v>
      </c>
      <c r="D1494" s="5" t="s">
        <v>44</v>
      </c>
      <c r="E1494" s="5" t="s">
        <v>32</v>
      </c>
      <c r="F1494" s="3" t="s">
        <v>379</v>
      </c>
      <c r="G1494" s="3" t="str">
        <f>"00677538"</f>
        <v>00677538</v>
      </c>
    </row>
    <row r="1495" spans="1:7" x14ac:dyDescent="0.25">
      <c r="A1495" s="2">
        <v>1494</v>
      </c>
      <c r="B1495" s="3">
        <v>7402</v>
      </c>
      <c r="C1495" s="5" t="s">
        <v>1034</v>
      </c>
      <c r="D1495" s="5" t="s">
        <v>2225</v>
      </c>
      <c r="E1495" s="5" t="s">
        <v>32</v>
      </c>
      <c r="F1495" s="3" t="s">
        <v>4242</v>
      </c>
      <c r="G1495" s="3" t="str">
        <f>"01017179"</f>
        <v>01017179</v>
      </c>
    </row>
    <row r="1496" spans="1:7" x14ac:dyDescent="0.25">
      <c r="A1496" s="2">
        <v>1495</v>
      </c>
      <c r="B1496" s="3">
        <v>8820</v>
      </c>
      <c r="C1496" s="5" t="s">
        <v>1034</v>
      </c>
      <c r="D1496" s="5" t="s">
        <v>1033</v>
      </c>
      <c r="E1496" s="5" t="s">
        <v>32</v>
      </c>
      <c r="F1496" s="3" t="s">
        <v>1035</v>
      </c>
      <c r="G1496" s="3" t="str">
        <f>"00818977"</f>
        <v>00818977</v>
      </c>
    </row>
    <row r="1497" spans="1:7" x14ac:dyDescent="0.25">
      <c r="A1497" s="2">
        <v>1496</v>
      </c>
      <c r="B1497" s="3">
        <v>13006</v>
      </c>
      <c r="C1497" s="5" t="s">
        <v>3593</v>
      </c>
      <c r="D1497" s="5" t="s">
        <v>561</v>
      </c>
      <c r="E1497" s="5" t="s">
        <v>5</v>
      </c>
      <c r="F1497" s="3" t="s">
        <v>3594</v>
      </c>
      <c r="G1497" s="3" t="str">
        <f>"201410007769"</f>
        <v>201410007769</v>
      </c>
    </row>
    <row r="1498" spans="1:7" x14ac:dyDescent="0.25">
      <c r="A1498" s="2">
        <v>1497</v>
      </c>
      <c r="B1498" s="3">
        <v>1281</v>
      </c>
      <c r="C1498" s="5" t="s">
        <v>3224</v>
      </c>
      <c r="D1498" s="5" t="s">
        <v>41</v>
      </c>
      <c r="E1498" s="5" t="s">
        <v>70</v>
      </c>
      <c r="F1498" s="3" t="s">
        <v>3925</v>
      </c>
      <c r="G1498" s="3" t="str">
        <f>"00982349"</f>
        <v>00982349</v>
      </c>
    </row>
    <row r="1499" spans="1:7" x14ac:dyDescent="0.25">
      <c r="A1499" s="2">
        <v>1498</v>
      </c>
      <c r="B1499" s="3">
        <v>4606</v>
      </c>
      <c r="C1499" s="5" t="s">
        <v>3224</v>
      </c>
      <c r="D1499" s="5" t="s">
        <v>11</v>
      </c>
      <c r="E1499" s="5" t="s">
        <v>44</v>
      </c>
      <c r="F1499" s="3" t="s">
        <v>3225</v>
      </c>
      <c r="G1499" s="3" t="str">
        <f>"00092548"</f>
        <v>00092548</v>
      </c>
    </row>
    <row r="1500" spans="1:7" x14ac:dyDescent="0.25">
      <c r="A1500" s="2">
        <v>1499</v>
      </c>
      <c r="B1500" s="3">
        <v>8693</v>
      </c>
      <c r="C1500" s="5" t="s">
        <v>2052</v>
      </c>
      <c r="D1500" s="5" t="s">
        <v>187</v>
      </c>
      <c r="E1500" s="5" t="s">
        <v>11</v>
      </c>
      <c r="F1500" s="3" t="s">
        <v>2053</v>
      </c>
      <c r="G1500" s="3" t="str">
        <f>"00983483"</f>
        <v>00983483</v>
      </c>
    </row>
    <row r="1501" spans="1:7" x14ac:dyDescent="0.25">
      <c r="A1501" s="2">
        <v>1500</v>
      </c>
      <c r="B1501" s="3">
        <v>5619</v>
      </c>
      <c r="C1501" s="5" t="s">
        <v>2042</v>
      </c>
      <c r="D1501" s="5" t="s">
        <v>32</v>
      </c>
      <c r="E1501" s="5" t="s">
        <v>44</v>
      </c>
      <c r="F1501" s="3" t="s">
        <v>2043</v>
      </c>
      <c r="G1501" s="3" t="str">
        <f>"00848196"</f>
        <v>00848196</v>
      </c>
    </row>
    <row r="1502" spans="1:7" x14ac:dyDescent="0.25">
      <c r="A1502" s="2">
        <v>1501</v>
      </c>
      <c r="B1502" s="3">
        <v>8150</v>
      </c>
      <c r="C1502" s="5" t="s">
        <v>4569</v>
      </c>
      <c r="D1502" s="5" t="s">
        <v>2014</v>
      </c>
      <c r="E1502" s="5" t="s">
        <v>52</v>
      </c>
      <c r="F1502" s="3" t="s">
        <v>4570</v>
      </c>
      <c r="G1502" s="3" t="str">
        <f>"01014379"</f>
        <v>01014379</v>
      </c>
    </row>
    <row r="1503" spans="1:7" x14ac:dyDescent="0.25">
      <c r="A1503" s="2">
        <v>1502</v>
      </c>
      <c r="B1503" s="3">
        <v>1350</v>
      </c>
      <c r="C1503" s="5" t="s">
        <v>88</v>
      </c>
      <c r="D1503" s="5" t="s">
        <v>87</v>
      </c>
      <c r="E1503" s="5" t="s">
        <v>252</v>
      </c>
      <c r="F1503" s="3">
        <v>1066981</v>
      </c>
      <c r="G1503" s="3" t="str">
        <f>"00760468"</f>
        <v>00760468</v>
      </c>
    </row>
    <row r="1504" spans="1:7" x14ac:dyDescent="0.25">
      <c r="A1504" s="2">
        <v>1503</v>
      </c>
      <c r="B1504" s="3">
        <v>6157</v>
      </c>
      <c r="C1504" s="5" t="s">
        <v>2048</v>
      </c>
      <c r="D1504" s="5" t="s">
        <v>87</v>
      </c>
      <c r="E1504" s="5" t="s">
        <v>4842</v>
      </c>
      <c r="F1504" s="3" t="s">
        <v>2049</v>
      </c>
      <c r="G1504" s="3" t="str">
        <f>"00985963"</f>
        <v>00985963</v>
      </c>
    </row>
    <row r="1505" spans="1:7" x14ac:dyDescent="0.25">
      <c r="A1505" s="2">
        <v>1504</v>
      </c>
      <c r="B1505" s="3">
        <v>1730</v>
      </c>
      <c r="C1505" s="5" t="s">
        <v>3388</v>
      </c>
      <c r="D1505" s="5" t="s">
        <v>3387</v>
      </c>
      <c r="E1505" s="5" t="s">
        <v>11</v>
      </c>
      <c r="F1505" s="3" t="s">
        <v>3389</v>
      </c>
      <c r="G1505" s="3" t="str">
        <f>"00986302"</f>
        <v>00986302</v>
      </c>
    </row>
    <row r="1506" spans="1:7" x14ac:dyDescent="0.25">
      <c r="A1506" s="2">
        <v>1505</v>
      </c>
      <c r="B1506" s="3">
        <v>1325</v>
      </c>
      <c r="C1506" s="5" t="s">
        <v>468</v>
      </c>
      <c r="D1506" s="5" t="s">
        <v>94</v>
      </c>
      <c r="E1506" s="5" t="s">
        <v>284</v>
      </c>
      <c r="F1506" s="3" t="s">
        <v>469</v>
      </c>
      <c r="G1506" s="3" t="str">
        <f>"201511018083"</f>
        <v>201511018083</v>
      </c>
    </row>
    <row r="1507" spans="1:7" x14ac:dyDescent="0.25">
      <c r="A1507" s="2">
        <v>1506</v>
      </c>
      <c r="B1507" s="3">
        <v>783</v>
      </c>
      <c r="C1507" s="5" t="s">
        <v>3903</v>
      </c>
      <c r="D1507" s="5" t="s">
        <v>129</v>
      </c>
      <c r="E1507" s="5" t="s">
        <v>87</v>
      </c>
      <c r="F1507" s="3" t="s">
        <v>3904</v>
      </c>
      <c r="G1507" s="3" t="str">
        <f>"00457172"</f>
        <v>00457172</v>
      </c>
    </row>
    <row r="1508" spans="1:7" x14ac:dyDescent="0.25">
      <c r="A1508" s="2">
        <v>1507</v>
      </c>
      <c r="B1508" s="3">
        <v>7640</v>
      </c>
      <c r="C1508" s="5" t="s">
        <v>1422</v>
      </c>
      <c r="D1508" s="5" t="s">
        <v>1421</v>
      </c>
      <c r="E1508" s="5" t="s">
        <v>102</v>
      </c>
      <c r="F1508" s="3" t="s">
        <v>1423</v>
      </c>
      <c r="G1508" s="3" t="str">
        <f>"201502003005"</f>
        <v>201502003005</v>
      </c>
    </row>
    <row r="1509" spans="1:7" x14ac:dyDescent="0.25">
      <c r="A1509" s="2">
        <v>1508</v>
      </c>
      <c r="B1509" s="3">
        <v>2312</v>
      </c>
      <c r="C1509" s="5" t="s">
        <v>3948</v>
      </c>
      <c r="D1509" s="5" t="s">
        <v>3947</v>
      </c>
      <c r="E1509" s="5" t="s">
        <v>3871</v>
      </c>
      <c r="F1509" s="3" t="s">
        <v>3949</v>
      </c>
      <c r="G1509" s="3" t="str">
        <f>"00778074"</f>
        <v>00778074</v>
      </c>
    </row>
    <row r="1510" spans="1:7" x14ac:dyDescent="0.25">
      <c r="A1510" s="2">
        <v>1509</v>
      </c>
      <c r="B1510" s="3">
        <v>3523</v>
      </c>
      <c r="C1510" s="5" t="s">
        <v>580</v>
      </c>
      <c r="D1510" s="5" t="s">
        <v>82</v>
      </c>
      <c r="E1510" s="5" t="s">
        <v>44</v>
      </c>
      <c r="F1510" s="3" t="s">
        <v>581</v>
      </c>
      <c r="G1510" s="3" t="str">
        <f>"00991427"</f>
        <v>00991427</v>
      </c>
    </row>
    <row r="1511" spans="1:7" x14ac:dyDescent="0.25">
      <c r="A1511" s="2">
        <v>1510</v>
      </c>
      <c r="B1511" s="3">
        <v>1164</v>
      </c>
      <c r="C1511" s="5" t="s">
        <v>4343</v>
      </c>
      <c r="D1511" s="5" t="s">
        <v>126</v>
      </c>
      <c r="E1511" s="5" t="s">
        <v>4907</v>
      </c>
      <c r="F1511" s="3" t="s">
        <v>4344</v>
      </c>
      <c r="G1511" s="3" t="str">
        <f>"00077948"</f>
        <v>00077948</v>
      </c>
    </row>
    <row r="1512" spans="1:7" x14ac:dyDescent="0.25">
      <c r="A1512" s="2">
        <v>1511</v>
      </c>
      <c r="B1512" s="3">
        <v>11003</v>
      </c>
      <c r="C1512" s="5" t="s">
        <v>3681</v>
      </c>
      <c r="D1512" s="5" t="s">
        <v>3680</v>
      </c>
      <c r="E1512" s="5" t="s">
        <v>1694</v>
      </c>
      <c r="F1512" s="3" t="s">
        <v>3682</v>
      </c>
      <c r="G1512" s="3" t="str">
        <f>"00890624"</f>
        <v>00890624</v>
      </c>
    </row>
    <row r="1513" spans="1:7" x14ac:dyDescent="0.25">
      <c r="A1513" s="2">
        <v>1512</v>
      </c>
      <c r="B1513" s="3">
        <v>4995</v>
      </c>
      <c r="C1513" s="5" t="s">
        <v>4309</v>
      </c>
      <c r="D1513" s="5" t="s">
        <v>38</v>
      </c>
      <c r="E1513" s="5" t="s">
        <v>87</v>
      </c>
      <c r="F1513" s="3" t="s">
        <v>4310</v>
      </c>
      <c r="G1513" s="3" t="str">
        <f>"01017235"</f>
        <v>01017235</v>
      </c>
    </row>
    <row r="1514" spans="1:7" x14ac:dyDescent="0.25">
      <c r="A1514" s="2">
        <v>1513</v>
      </c>
      <c r="B1514" s="3">
        <v>4179</v>
      </c>
      <c r="C1514" s="5" t="s">
        <v>746</v>
      </c>
      <c r="D1514" s="5" t="s">
        <v>745</v>
      </c>
      <c r="E1514" s="5" t="s">
        <v>4804</v>
      </c>
      <c r="F1514" s="3">
        <v>900682018</v>
      </c>
      <c r="G1514" s="3" t="str">
        <f>"01014710"</f>
        <v>01014710</v>
      </c>
    </row>
    <row r="1515" spans="1:7" x14ac:dyDescent="0.25">
      <c r="A1515" s="2">
        <v>1514</v>
      </c>
      <c r="B1515" s="3">
        <v>7658</v>
      </c>
      <c r="C1515" s="5" t="s">
        <v>1424</v>
      </c>
      <c r="D1515" s="5" t="s">
        <v>87</v>
      </c>
      <c r="E1515" s="5" t="s">
        <v>32</v>
      </c>
      <c r="F1515" s="3" t="s">
        <v>1425</v>
      </c>
      <c r="G1515" s="3" t="str">
        <f>"00982237"</f>
        <v>00982237</v>
      </c>
    </row>
    <row r="1516" spans="1:7" x14ac:dyDescent="0.25">
      <c r="A1516" s="2">
        <v>1515</v>
      </c>
      <c r="B1516" s="3">
        <v>307</v>
      </c>
      <c r="C1516" s="5" t="s">
        <v>2619</v>
      </c>
      <c r="D1516" s="5" t="s">
        <v>2618</v>
      </c>
      <c r="E1516" s="5" t="s">
        <v>184</v>
      </c>
      <c r="F1516" s="3" t="s">
        <v>2620</v>
      </c>
      <c r="G1516" s="3" t="str">
        <f>"00810066"</f>
        <v>00810066</v>
      </c>
    </row>
    <row r="1517" spans="1:7" x14ac:dyDescent="0.25">
      <c r="A1517" s="2">
        <v>1516</v>
      </c>
      <c r="B1517" s="3">
        <v>499</v>
      </c>
      <c r="C1517" s="5" t="s">
        <v>259</v>
      </c>
      <c r="D1517" s="5" t="s">
        <v>258</v>
      </c>
      <c r="E1517" s="5" t="s">
        <v>87</v>
      </c>
      <c r="F1517" s="3" t="s">
        <v>260</v>
      </c>
      <c r="G1517" s="3" t="str">
        <f>"201401000582"</f>
        <v>201401000582</v>
      </c>
    </row>
    <row r="1518" spans="1:7" x14ac:dyDescent="0.25">
      <c r="A1518" s="2">
        <v>1517</v>
      </c>
      <c r="B1518" s="3">
        <v>12909</v>
      </c>
      <c r="C1518" s="5" t="s">
        <v>2333</v>
      </c>
      <c r="D1518" s="5" t="s">
        <v>52</v>
      </c>
      <c r="E1518" s="5" t="s">
        <v>52</v>
      </c>
      <c r="F1518" s="3" t="s">
        <v>2334</v>
      </c>
      <c r="G1518" s="3" t="str">
        <f>"00815628"</f>
        <v>00815628</v>
      </c>
    </row>
    <row r="1519" spans="1:7" x14ac:dyDescent="0.25">
      <c r="A1519" s="2">
        <v>1518</v>
      </c>
      <c r="B1519" s="3">
        <v>1885</v>
      </c>
      <c r="C1519" s="5" t="s">
        <v>2420</v>
      </c>
      <c r="D1519" s="5" t="s">
        <v>2419</v>
      </c>
      <c r="E1519" s="5" t="s">
        <v>4853</v>
      </c>
      <c r="F1519" s="3" t="s">
        <v>2421</v>
      </c>
      <c r="G1519" s="3" t="str">
        <f>"00779102"</f>
        <v>00779102</v>
      </c>
    </row>
    <row r="1520" spans="1:7" x14ac:dyDescent="0.25">
      <c r="A1520" s="2">
        <v>1519</v>
      </c>
      <c r="B1520" s="3">
        <v>1464</v>
      </c>
      <c r="C1520" s="5" t="s">
        <v>2595</v>
      </c>
      <c r="D1520" s="5" t="s">
        <v>11</v>
      </c>
      <c r="E1520" s="5" t="s">
        <v>2786</v>
      </c>
      <c r="F1520" s="3" t="s">
        <v>2596</v>
      </c>
      <c r="G1520" s="3" t="str">
        <f>"00844578"</f>
        <v>00844578</v>
      </c>
    </row>
    <row r="1521" spans="1:7" x14ac:dyDescent="0.25">
      <c r="A1521" s="2">
        <v>1520</v>
      </c>
      <c r="B1521" s="3">
        <v>12602</v>
      </c>
      <c r="C1521" s="5" t="s">
        <v>2762</v>
      </c>
      <c r="D1521" s="5" t="s">
        <v>52</v>
      </c>
      <c r="E1521" s="5" t="s">
        <v>1152</v>
      </c>
      <c r="F1521" s="3" t="s">
        <v>2763</v>
      </c>
      <c r="G1521" s="3" t="str">
        <f>"00986513"</f>
        <v>00986513</v>
      </c>
    </row>
    <row r="1522" spans="1:7" x14ac:dyDescent="0.25">
      <c r="A1522" s="2">
        <v>1521</v>
      </c>
      <c r="B1522" s="3">
        <v>6616</v>
      </c>
      <c r="C1522" s="5" t="s">
        <v>1225</v>
      </c>
      <c r="D1522" s="5" t="s">
        <v>588</v>
      </c>
      <c r="E1522" s="5" t="s">
        <v>82</v>
      </c>
      <c r="F1522" s="3" t="s">
        <v>1226</v>
      </c>
      <c r="G1522" s="3" t="str">
        <f>"00975042"</f>
        <v>00975042</v>
      </c>
    </row>
    <row r="1523" spans="1:7" x14ac:dyDescent="0.25">
      <c r="A1523" s="2">
        <v>1522</v>
      </c>
      <c r="B1523" s="3">
        <v>8457</v>
      </c>
      <c r="C1523" s="5" t="s">
        <v>524</v>
      </c>
      <c r="D1523" s="5" t="s">
        <v>44</v>
      </c>
      <c r="E1523" s="5" t="s">
        <v>4795</v>
      </c>
      <c r="F1523" s="3" t="s">
        <v>525</v>
      </c>
      <c r="G1523" s="3" t="str">
        <f>"00047388"</f>
        <v>00047388</v>
      </c>
    </row>
    <row r="1524" spans="1:7" x14ac:dyDescent="0.25">
      <c r="A1524" s="2">
        <v>1523</v>
      </c>
      <c r="B1524" s="3">
        <v>8632</v>
      </c>
      <c r="C1524" s="5" t="s">
        <v>4332</v>
      </c>
      <c r="D1524" s="5" t="s">
        <v>44</v>
      </c>
      <c r="E1524" s="5" t="s">
        <v>3583</v>
      </c>
      <c r="F1524" s="3" t="s">
        <v>4333</v>
      </c>
      <c r="G1524" s="3" t="str">
        <f>"00172468"</f>
        <v>00172468</v>
      </c>
    </row>
    <row r="1525" spans="1:7" x14ac:dyDescent="0.25">
      <c r="A1525" s="2">
        <v>1524</v>
      </c>
      <c r="B1525" s="3">
        <v>2133</v>
      </c>
      <c r="C1525" s="5" t="s">
        <v>2029</v>
      </c>
      <c r="D1525" s="5" t="s">
        <v>11</v>
      </c>
      <c r="E1525" s="5" t="s">
        <v>5</v>
      </c>
      <c r="F1525" s="3" t="s">
        <v>2030</v>
      </c>
      <c r="G1525" s="3" t="str">
        <f>"01014893"</f>
        <v>01014893</v>
      </c>
    </row>
    <row r="1526" spans="1:7" x14ac:dyDescent="0.25">
      <c r="A1526" s="2">
        <v>1525</v>
      </c>
      <c r="B1526" s="3">
        <v>2389</v>
      </c>
      <c r="C1526" s="5" t="s">
        <v>2480</v>
      </c>
      <c r="D1526" s="5" t="s">
        <v>214</v>
      </c>
      <c r="E1526" s="5" t="s">
        <v>207</v>
      </c>
      <c r="F1526" s="3" t="s">
        <v>2481</v>
      </c>
      <c r="G1526" s="3" t="str">
        <f>"00931634"</f>
        <v>00931634</v>
      </c>
    </row>
    <row r="1527" spans="1:7" x14ac:dyDescent="0.25">
      <c r="A1527" s="2">
        <v>1526</v>
      </c>
      <c r="B1527" s="3">
        <v>9927</v>
      </c>
      <c r="C1527" s="5" t="s">
        <v>3609</v>
      </c>
      <c r="D1527" s="5" t="s">
        <v>1432</v>
      </c>
      <c r="E1527" s="5" t="s">
        <v>44</v>
      </c>
      <c r="F1527" s="3" t="s">
        <v>3610</v>
      </c>
      <c r="G1527" s="3" t="str">
        <f>"00986000"</f>
        <v>00986000</v>
      </c>
    </row>
    <row r="1528" spans="1:7" x14ac:dyDescent="0.25">
      <c r="A1528" s="2">
        <v>1527</v>
      </c>
      <c r="B1528" s="3">
        <v>4713</v>
      </c>
      <c r="C1528" s="5" t="s">
        <v>686</v>
      </c>
      <c r="D1528" s="5" t="s">
        <v>685</v>
      </c>
      <c r="E1528" s="5" t="s">
        <v>38</v>
      </c>
      <c r="F1528" s="3" t="s">
        <v>687</v>
      </c>
      <c r="G1528" s="3" t="str">
        <f>"00901145"</f>
        <v>00901145</v>
      </c>
    </row>
    <row r="1529" spans="1:7" x14ac:dyDescent="0.25">
      <c r="A1529" s="2">
        <v>1528</v>
      </c>
      <c r="B1529" s="3">
        <v>6805</v>
      </c>
      <c r="C1529" s="5" t="s">
        <v>4076</v>
      </c>
      <c r="D1529" s="5" t="s">
        <v>11</v>
      </c>
      <c r="E1529" s="5" t="s">
        <v>4897</v>
      </c>
      <c r="F1529" s="3" t="s">
        <v>4077</v>
      </c>
      <c r="G1529" s="3" t="str">
        <f>"00989025"</f>
        <v>00989025</v>
      </c>
    </row>
    <row r="1530" spans="1:7" x14ac:dyDescent="0.25">
      <c r="A1530" s="2">
        <v>1529</v>
      </c>
      <c r="B1530" s="3">
        <v>608</v>
      </c>
      <c r="C1530" s="5" t="s">
        <v>2418</v>
      </c>
      <c r="D1530" s="5" t="s">
        <v>87</v>
      </c>
      <c r="E1530" s="5" t="s">
        <v>11</v>
      </c>
      <c r="F1530" s="3">
        <v>34073</v>
      </c>
      <c r="G1530" s="3" t="str">
        <f>"00979738"</f>
        <v>00979738</v>
      </c>
    </row>
    <row r="1531" spans="1:7" x14ac:dyDescent="0.25">
      <c r="A1531" s="2">
        <v>1530</v>
      </c>
      <c r="B1531" s="3">
        <v>8844</v>
      </c>
      <c r="C1531" s="5" t="s">
        <v>2230</v>
      </c>
      <c r="D1531" s="5" t="s">
        <v>52</v>
      </c>
      <c r="E1531" s="5" t="s">
        <v>252</v>
      </c>
      <c r="F1531" s="3">
        <v>90777</v>
      </c>
      <c r="G1531" s="3" t="str">
        <f>"01016560"</f>
        <v>01016560</v>
      </c>
    </row>
    <row r="1532" spans="1:7" x14ac:dyDescent="0.25">
      <c r="A1532" s="2">
        <v>1531</v>
      </c>
      <c r="B1532" s="3">
        <v>7264</v>
      </c>
      <c r="C1532" s="5" t="s">
        <v>67</v>
      </c>
      <c r="D1532" s="5" t="s">
        <v>66</v>
      </c>
      <c r="E1532" s="5" t="s">
        <v>632</v>
      </c>
      <c r="F1532" s="3" t="s">
        <v>68</v>
      </c>
      <c r="G1532" s="3" t="str">
        <f>"00839734"</f>
        <v>00839734</v>
      </c>
    </row>
    <row r="1533" spans="1:7" x14ac:dyDescent="0.25">
      <c r="A1533" s="2">
        <v>1532</v>
      </c>
      <c r="B1533" s="3">
        <v>5051</v>
      </c>
      <c r="C1533" s="5" t="s">
        <v>1543</v>
      </c>
      <c r="D1533" s="5" t="s">
        <v>555</v>
      </c>
      <c r="E1533" s="5" t="s">
        <v>11</v>
      </c>
      <c r="F1533" s="3" t="s">
        <v>3299</v>
      </c>
      <c r="G1533" s="3" t="str">
        <f>"01015836"</f>
        <v>01015836</v>
      </c>
    </row>
    <row r="1534" spans="1:7" x14ac:dyDescent="0.25">
      <c r="A1534" s="2">
        <v>1533</v>
      </c>
      <c r="B1534" s="3">
        <v>5104</v>
      </c>
      <c r="C1534" s="5" t="s">
        <v>1543</v>
      </c>
      <c r="D1534" s="5" t="s">
        <v>5</v>
      </c>
      <c r="E1534" s="5" t="s">
        <v>32</v>
      </c>
      <c r="F1534" s="3" t="s">
        <v>1544</v>
      </c>
      <c r="G1534" s="3" t="str">
        <f>"00441467"</f>
        <v>00441467</v>
      </c>
    </row>
    <row r="1535" spans="1:7" x14ac:dyDescent="0.25">
      <c r="A1535" s="2">
        <v>1534</v>
      </c>
      <c r="B1535" s="3">
        <v>5221</v>
      </c>
      <c r="C1535" s="5" t="s">
        <v>3422</v>
      </c>
      <c r="D1535" s="5" t="s">
        <v>696</v>
      </c>
      <c r="E1535" s="5" t="s">
        <v>129</v>
      </c>
      <c r="F1535" s="3" t="s">
        <v>3423</v>
      </c>
      <c r="G1535" s="3" t="str">
        <f>"01014500"</f>
        <v>01014500</v>
      </c>
    </row>
    <row r="1536" spans="1:7" x14ac:dyDescent="0.25">
      <c r="A1536" s="2">
        <v>1535</v>
      </c>
      <c r="B1536" s="3">
        <v>402</v>
      </c>
      <c r="C1536" s="5" t="s">
        <v>390</v>
      </c>
      <c r="D1536" s="5" t="s">
        <v>14</v>
      </c>
      <c r="E1536" s="5" t="s">
        <v>5</v>
      </c>
      <c r="F1536" s="3" t="s">
        <v>391</v>
      </c>
      <c r="G1536" s="3" t="str">
        <f>"00898609"</f>
        <v>00898609</v>
      </c>
    </row>
    <row r="1537" spans="1:7" x14ac:dyDescent="0.25">
      <c r="A1537" s="2">
        <v>1536</v>
      </c>
      <c r="B1537" s="3">
        <v>12741</v>
      </c>
      <c r="C1537" s="5" t="s">
        <v>1914</v>
      </c>
      <c r="D1537" s="5" t="s">
        <v>534</v>
      </c>
      <c r="E1537" s="5" t="s">
        <v>5</v>
      </c>
      <c r="F1537" s="3" t="s">
        <v>1915</v>
      </c>
      <c r="G1537" s="3" t="str">
        <f>"00447449"</f>
        <v>00447449</v>
      </c>
    </row>
    <row r="1538" spans="1:7" x14ac:dyDescent="0.25">
      <c r="A1538" s="2">
        <v>1537</v>
      </c>
      <c r="B1538" s="3">
        <v>11515</v>
      </c>
      <c r="C1538" s="5" t="s">
        <v>2915</v>
      </c>
      <c r="D1538" s="5" t="s">
        <v>2914</v>
      </c>
      <c r="E1538" s="5" t="s">
        <v>82</v>
      </c>
      <c r="F1538" s="3" t="s">
        <v>2916</v>
      </c>
      <c r="G1538" s="3" t="str">
        <f>"00672921"</f>
        <v>00672921</v>
      </c>
    </row>
    <row r="1539" spans="1:7" x14ac:dyDescent="0.25">
      <c r="A1539" s="2">
        <v>1538</v>
      </c>
      <c r="B1539" s="3">
        <v>8079</v>
      </c>
      <c r="C1539" s="5" t="s">
        <v>703</v>
      </c>
      <c r="D1539" s="5" t="s">
        <v>8</v>
      </c>
      <c r="E1539" s="5" t="s">
        <v>14</v>
      </c>
      <c r="F1539" s="3" t="s">
        <v>704</v>
      </c>
      <c r="G1539" s="3" t="str">
        <f>"201511024610"</f>
        <v>201511024610</v>
      </c>
    </row>
    <row r="1540" spans="1:7" x14ac:dyDescent="0.25">
      <c r="A1540" s="2">
        <v>1539</v>
      </c>
      <c r="B1540" s="3">
        <v>11415</v>
      </c>
      <c r="C1540" s="5" t="s">
        <v>2379</v>
      </c>
      <c r="D1540" s="5" t="s">
        <v>457</v>
      </c>
      <c r="E1540" s="5" t="s">
        <v>44</v>
      </c>
      <c r="F1540" s="3" t="s">
        <v>2380</v>
      </c>
      <c r="G1540" s="3" t="str">
        <f>"00808528"</f>
        <v>00808528</v>
      </c>
    </row>
    <row r="1541" spans="1:7" x14ac:dyDescent="0.25">
      <c r="A1541" s="2">
        <v>1540</v>
      </c>
      <c r="B1541" s="3">
        <v>10630</v>
      </c>
      <c r="C1541" s="5" t="s">
        <v>933</v>
      </c>
      <c r="D1541" s="5" t="s">
        <v>11</v>
      </c>
      <c r="E1541" s="5" t="s">
        <v>129</v>
      </c>
      <c r="F1541" s="3" t="s">
        <v>934</v>
      </c>
      <c r="G1541" s="3" t="str">
        <f>"01007954"</f>
        <v>01007954</v>
      </c>
    </row>
    <row r="1542" spans="1:7" x14ac:dyDescent="0.25">
      <c r="A1542" s="2">
        <v>1541</v>
      </c>
      <c r="B1542" s="3">
        <v>4394</v>
      </c>
      <c r="C1542" s="5" t="s">
        <v>2247</v>
      </c>
      <c r="D1542" s="5" t="s">
        <v>82</v>
      </c>
      <c r="E1542" s="5" t="s">
        <v>44</v>
      </c>
      <c r="F1542" s="3" t="s">
        <v>2248</v>
      </c>
      <c r="G1542" s="3" t="str">
        <f>"00889039"</f>
        <v>00889039</v>
      </c>
    </row>
    <row r="1543" spans="1:7" x14ac:dyDescent="0.25">
      <c r="A1543" s="2">
        <v>1542</v>
      </c>
      <c r="B1543" s="3">
        <v>3251</v>
      </c>
      <c r="C1543" s="5" t="s">
        <v>3441</v>
      </c>
      <c r="D1543" s="5" t="s">
        <v>366</v>
      </c>
      <c r="E1543" s="5" t="s">
        <v>87</v>
      </c>
      <c r="F1543" s="3" t="s">
        <v>3442</v>
      </c>
      <c r="G1543" s="3" t="str">
        <f>"01016590"</f>
        <v>01016590</v>
      </c>
    </row>
    <row r="1544" spans="1:7" x14ac:dyDescent="0.25">
      <c r="A1544" s="2">
        <v>1543</v>
      </c>
      <c r="B1544" s="3">
        <v>11072</v>
      </c>
      <c r="C1544" s="5" t="s">
        <v>4224</v>
      </c>
      <c r="D1544" s="5" t="s">
        <v>4223</v>
      </c>
      <c r="E1544" s="5" t="s">
        <v>4899</v>
      </c>
      <c r="F1544" s="3" t="s">
        <v>4225</v>
      </c>
      <c r="G1544" s="3" t="str">
        <f>"00983021"</f>
        <v>00983021</v>
      </c>
    </row>
    <row r="1545" spans="1:7" x14ac:dyDescent="0.25">
      <c r="A1545" s="2">
        <v>1544</v>
      </c>
      <c r="B1545" s="3">
        <v>4075</v>
      </c>
      <c r="C1545" s="5" t="s">
        <v>1964</v>
      </c>
      <c r="D1545" s="5" t="s">
        <v>2178</v>
      </c>
      <c r="E1545" s="5" t="s">
        <v>4848</v>
      </c>
      <c r="F1545" s="3" t="s">
        <v>2179</v>
      </c>
      <c r="G1545" s="3" t="str">
        <f>"00529858"</f>
        <v>00529858</v>
      </c>
    </row>
    <row r="1546" spans="1:7" x14ac:dyDescent="0.25">
      <c r="A1546" s="2">
        <v>1545</v>
      </c>
      <c r="B1546" s="3">
        <v>3480</v>
      </c>
      <c r="C1546" s="5" t="s">
        <v>1964</v>
      </c>
      <c r="D1546" s="5" t="s">
        <v>1963</v>
      </c>
      <c r="E1546" s="5" t="s">
        <v>52</v>
      </c>
      <c r="F1546" s="3" t="s">
        <v>1965</v>
      </c>
      <c r="G1546" s="3" t="str">
        <f>"00982832"</f>
        <v>00982832</v>
      </c>
    </row>
    <row r="1547" spans="1:7" x14ac:dyDescent="0.25">
      <c r="A1547" s="2">
        <v>1546</v>
      </c>
      <c r="B1547" s="3">
        <v>3594</v>
      </c>
      <c r="C1547" s="5" t="s">
        <v>1964</v>
      </c>
      <c r="D1547" s="5" t="s">
        <v>44</v>
      </c>
      <c r="E1547" s="5" t="s">
        <v>129</v>
      </c>
      <c r="F1547" s="3" t="s">
        <v>3956</v>
      </c>
      <c r="G1547" s="3" t="str">
        <f>"01016750"</f>
        <v>01016750</v>
      </c>
    </row>
    <row r="1548" spans="1:7" x14ac:dyDescent="0.25">
      <c r="A1548" s="2">
        <v>1547</v>
      </c>
      <c r="B1548" s="3">
        <v>12873</v>
      </c>
      <c r="C1548" s="5" t="s">
        <v>1555</v>
      </c>
      <c r="D1548" s="5" t="s">
        <v>82</v>
      </c>
      <c r="E1548" s="5" t="s">
        <v>284</v>
      </c>
      <c r="F1548" s="3" t="s">
        <v>1556</v>
      </c>
      <c r="G1548" s="3" t="str">
        <f>"00873300"</f>
        <v>00873300</v>
      </c>
    </row>
    <row r="1549" spans="1:7" x14ac:dyDescent="0.25">
      <c r="A1549" s="2">
        <v>1548</v>
      </c>
      <c r="B1549" s="3">
        <v>7016</v>
      </c>
      <c r="C1549" s="5" t="s">
        <v>311</v>
      </c>
      <c r="D1549" s="5" t="s">
        <v>126</v>
      </c>
      <c r="E1549" s="5" t="s">
        <v>41</v>
      </c>
      <c r="F1549" s="3" t="s">
        <v>312</v>
      </c>
      <c r="G1549" s="3" t="str">
        <f>"00243199"</f>
        <v>00243199</v>
      </c>
    </row>
    <row r="1550" spans="1:7" x14ac:dyDescent="0.25">
      <c r="A1550" s="2">
        <v>1549</v>
      </c>
      <c r="B1550" s="3">
        <v>235</v>
      </c>
      <c r="C1550" s="5" t="s">
        <v>2309</v>
      </c>
      <c r="D1550" s="5" t="s">
        <v>14</v>
      </c>
      <c r="E1550" s="5" t="s">
        <v>284</v>
      </c>
      <c r="F1550" s="3" t="s">
        <v>2310</v>
      </c>
      <c r="G1550" s="3" t="str">
        <f>"00937746"</f>
        <v>00937746</v>
      </c>
    </row>
    <row r="1551" spans="1:7" x14ac:dyDescent="0.25">
      <c r="A1551" s="2">
        <v>1550</v>
      </c>
      <c r="B1551" s="3">
        <v>5647</v>
      </c>
      <c r="C1551" s="5" t="s">
        <v>1283</v>
      </c>
      <c r="D1551" s="5" t="s">
        <v>382</v>
      </c>
      <c r="E1551" s="5" t="s">
        <v>2020</v>
      </c>
      <c r="F1551" s="3" t="s">
        <v>1284</v>
      </c>
      <c r="G1551" s="3" t="str">
        <f>"201406005888"</f>
        <v>201406005888</v>
      </c>
    </row>
    <row r="1552" spans="1:7" x14ac:dyDescent="0.25">
      <c r="A1552" s="2">
        <v>1551</v>
      </c>
      <c r="B1552" s="3">
        <v>1410</v>
      </c>
      <c r="C1552" s="5" t="s">
        <v>373</v>
      </c>
      <c r="D1552" s="5" t="s">
        <v>372</v>
      </c>
      <c r="E1552" s="5" t="s">
        <v>2655</v>
      </c>
      <c r="F1552" s="3" t="s">
        <v>374</v>
      </c>
      <c r="G1552" s="3" t="str">
        <f>"00684117"</f>
        <v>00684117</v>
      </c>
    </row>
    <row r="1553" spans="1:7" x14ac:dyDescent="0.25">
      <c r="A1553" s="2">
        <v>1552</v>
      </c>
      <c r="B1553" s="3">
        <v>8799</v>
      </c>
      <c r="C1553" s="5" t="s">
        <v>373</v>
      </c>
      <c r="D1553" s="5" t="s">
        <v>11</v>
      </c>
      <c r="E1553" s="5" t="s">
        <v>52</v>
      </c>
      <c r="F1553" s="3">
        <v>710716027</v>
      </c>
      <c r="G1553" s="3" t="str">
        <f>"01016860"</f>
        <v>01016860</v>
      </c>
    </row>
    <row r="1554" spans="1:7" x14ac:dyDescent="0.25">
      <c r="A1554" s="2">
        <v>1553</v>
      </c>
      <c r="B1554" s="3">
        <v>1748</v>
      </c>
      <c r="C1554" s="5" t="s">
        <v>1936</v>
      </c>
      <c r="D1554" s="5" t="s">
        <v>66</v>
      </c>
      <c r="E1554" s="5" t="s">
        <v>87</v>
      </c>
      <c r="F1554" s="3" t="s">
        <v>1937</v>
      </c>
      <c r="G1554" s="3" t="str">
        <f>"00989409"</f>
        <v>00989409</v>
      </c>
    </row>
    <row r="1555" spans="1:7" x14ac:dyDescent="0.25">
      <c r="A1555" s="2">
        <v>1554</v>
      </c>
      <c r="B1555" s="3">
        <v>3119</v>
      </c>
      <c r="C1555" s="5" t="s">
        <v>3390</v>
      </c>
      <c r="D1555" s="5" t="s">
        <v>32</v>
      </c>
      <c r="E1555" s="5" t="s">
        <v>14</v>
      </c>
      <c r="F1555" s="3" t="s">
        <v>3391</v>
      </c>
      <c r="G1555" s="3" t="str">
        <f>"00984735"</f>
        <v>00984735</v>
      </c>
    </row>
    <row r="1556" spans="1:7" x14ac:dyDescent="0.25">
      <c r="A1556" s="2">
        <v>1555</v>
      </c>
      <c r="B1556" s="3">
        <v>2091</v>
      </c>
      <c r="C1556" s="5" t="s">
        <v>1366</v>
      </c>
      <c r="D1556" s="5" t="s">
        <v>38</v>
      </c>
      <c r="E1556" s="5" t="s">
        <v>776</v>
      </c>
      <c r="F1556" s="3" t="s">
        <v>1367</v>
      </c>
      <c r="G1556" s="3" t="str">
        <f>"00027313"</f>
        <v>00027313</v>
      </c>
    </row>
    <row r="1557" spans="1:7" x14ac:dyDescent="0.25">
      <c r="A1557" s="2">
        <v>1556</v>
      </c>
      <c r="B1557" s="3">
        <v>11280</v>
      </c>
      <c r="C1557" s="5" t="s">
        <v>2672</v>
      </c>
      <c r="D1557" s="5" t="s">
        <v>63</v>
      </c>
      <c r="E1557" s="5" t="s">
        <v>990</v>
      </c>
      <c r="F1557" s="3" t="s">
        <v>2673</v>
      </c>
      <c r="G1557" s="3" t="str">
        <f>"00263065"</f>
        <v>00263065</v>
      </c>
    </row>
    <row r="1558" spans="1:7" x14ac:dyDescent="0.25">
      <c r="A1558" s="2">
        <v>1557</v>
      </c>
      <c r="B1558" s="3">
        <v>6432</v>
      </c>
      <c r="C1558" s="5" t="s">
        <v>736</v>
      </c>
      <c r="D1558" s="5" t="s">
        <v>14</v>
      </c>
      <c r="E1558" s="5" t="s">
        <v>52</v>
      </c>
      <c r="F1558" s="3" t="s">
        <v>737</v>
      </c>
      <c r="G1558" s="3" t="str">
        <f>"201511042803"</f>
        <v>201511042803</v>
      </c>
    </row>
    <row r="1559" spans="1:7" x14ac:dyDescent="0.25">
      <c r="A1559" s="2">
        <v>1558</v>
      </c>
      <c r="B1559" s="3">
        <v>11230</v>
      </c>
      <c r="C1559" s="5" t="s">
        <v>3617</v>
      </c>
      <c r="D1559" s="5" t="s">
        <v>63</v>
      </c>
      <c r="E1559" s="5" t="s">
        <v>214</v>
      </c>
      <c r="F1559" s="3" t="s">
        <v>3618</v>
      </c>
      <c r="G1559" s="3" t="str">
        <f>"201604003006"</f>
        <v>201604003006</v>
      </c>
    </row>
    <row r="1560" spans="1:7" x14ac:dyDescent="0.25">
      <c r="A1560" s="2">
        <v>1559</v>
      </c>
      <c r="B1560" s="3">
        <v>3969</v>
      </c>
      <c r="C1560" s="5" t="s">
        <v>4429</v>
      </c>
      <c r="D1560" s="5" t="s">
        <v>126</v>
      </c>
      <c r="E1560" s="5" t="s">
        <v>1618</v>
      </c>
      <c r="F1560" s="3" t="s">
        <v>4430</v>
      </c>
      <c r="G1560" s="3" t="str">
        <f>"00995340"</f>
        <v>00995340</v>
      </c>
    </row>
    <row r="1561" spans="1:7" x14ac:dyDescent="0.25">
      <c r="A1561" s="2">
        <v>1560</v>
      </c>
      <c r="B1561" s="3">
        <v>184</v>
      </c>
      <c r="C1561" s="5" t="s">
        <v>3972</v>
      </c>
      <c r="D1561" s="5" t="s">
        <v>773</v>
      </c>
      <c r="E1561" s="5" t="s">
        <v>113</v>
      </c>
      <c r="F1561" s="3" t="s">
        <v>3973</v>
      </c>
      <c r="G1561" s="3" t="str">
        <f>"00924978"</f>
        <v>00924978</v>
      </c>
    </row>
    <row r="1562" spans="1:7" x14ac:dyDescent="0.25">
      <c r="A1562" s="2">
        <v>1561</v>
      </c>
      <c r="B1562" s="3">
        <v>12149</v>
      </c>
      <c r="C1562" s="5" t="s">
        <v>3130</v>
      </c>
      <c r="D1562" s="5" t="s">
        <v>11</v>
      </c>
      <c r="E1562" s="5" t="s">
        <v>284</v>
      </c>
      <c r="F1562" s="3">
        <v>2013559</v>
      </c>
      <c r="G1562" s="3" t="str">
        <f>"00020858"</f>
        <v>00020858</v>
      </c>
    </row>
    <row r="1563" spans="1:7" x14ac:dyDescent="0.25">
      <c r="A1563" s="2">
        <v>1562</v>
      </c>
      <c r="B1563" s="3">
        <v>5996</v>
      </c>
      <c r="C1563" s="5" t="s">
        <v>4117</v>
      </c>
      <c r="D1563" s="5" t="s">
        <v>14</v>
      </c>
      <c r="E1563" s="5" t="s">
        <v>635</v>
      </c>
      <c r="F1563" s="3" t="s">
        <v>4118</v>
      </c>
      <c r="G1563" s="3" t="str">
        <f>"00810634"</f>
        <v>00810634</v>
      </c>
    </row>
    <row r="1564" spans="1:7" x14ac:dyDescent="0.25">
      <c r="A1564" s="2">
        <v>1563</v>
      </c>
      <c r="B1564" s="3">
        <v>6301</v>
      </c>
      <c r="C1564" s="5" t="s">
        <v>4414</v>
      </c>
      <c r="D1564" s="5" t="s">
        <v>284</v>
      </c>
      <c r="E1564" s="5" t="s">
        <v>11</v>
      </c>
      <c r="F1564" s="3" t="s">
        <v>4415</v>
      </c>
      <c r="G1564" s="3" t="str">
        <f>"00206967"</f>
        <v>00206967</v>
      </c>
    </row>
    <row r="1565" spans="1:7" x14ac:dyDescent="0.25">
      <c r="A1565" s="2">
        <v>1564</v>
      </c>
      <c r="B1565" s="3">
        <v>5039</v>
      </c>
      <c r="C1565" s="5" t="s">
        <v>3657</v>
      </c>
      <c r="D1565" s="5" t="s">
        <v>457</v>
      </c>
      <c r="E1565" s="5" t="s">
        <v>11</v>
      </c>
      <c r="F1565" s="3" t="s">
        <v>3658</v>
      </c>
      <c r="G1565" s="3" t="str">
        <f>"00931174"</f>
        <v>00931174</v>
      </c>
    </row>
    <row r="1566" spans="1:7" x14ac:dyDescent="0.25">
      <c r="A1566" s="2">
        <v>1565</v>
      </c>
      <c r="B1566" s="3">
        <v>8092</v>
      </c>
      <c r="C1566" s="5" t="s">
        <v>3884</v>
      </c>
      <c r="D1566" s="5" t="s">
        <v>63</v>
      </c>
      <c r="E1566" s="5" t="s">
        <v>52</v>
      </c>
      <c r="F1566" s="3">
        <v>710994018</v>
      </c>
      <c r="G1566" s="3" t="str">
        <f>"01011247"</f>
        <v>01011247</v>
      </c>
    </row>
    <row r="1567" spans="1:7" x14ac:dyDescent="0.25">
      <c r="A1567" s="2">
        <v>1566</v>
      </c>
      <c r="B1567" s="3">
        <v>9152</v>
      </c>
      <c r="C1567" s="5" t="s">
        <v>3350</v>
      </c>
      <c r="D1567" s="5" t="s">
        <v>44</v>
      </c>
      <c r="E1567" s="5" t="s">
        <v>284</v>
      </c>
      <c r="F1567" s="3" t="s">
        <v>3351</v>
      </c>
      <c r="G1567" s="3" t="str">
        <f>"00817089"</f>
        <v>00817089</v>
      </c>
    </row>
    <row r="1568" spans="1:7" x14ac:dyDescent="0.25">
      <c r="A1568" s="2">
        <v>1567</v>
      </c>
      <c r="B1568" s="3">
        <v>4056</v>
      </c>
      <c r="C1568" s="5" t="s">
        <v>777</v>
      </c>
      <c r="D1568" s="5" t="s">
        <v>284</v>
      </c>
      <c r="E1568" s="5" t="s">
        <v>52</v>
      </c>
      <c r="F1568" s="3" t="s">
        <v>3167</v>
      </c>
      <c r="G1568" s="3" t="str">
        <f>"01007946"</f>
        <v>01007946</v>
      </c>
    </row>
    <row r="1569" spans="1:7" x14ac:dyDescent="0.25">
      <c r="A1569" s="2">
        <v>1568</v>
      </c>
      <c r="B1569" s="3">
        <v>5868</v>
      </c>
      <c r="C1569" s="5" t="s">
        <v>777</v>
      </c>
      <c r="D1569" s="5" t="s">
        <v>951</v>
      </c>
      <c r="E1569" s="5" t="s">
        <v>129</v>
      </c>
      <c r="F1569" s="3" t="s">
        <v>3114</v>
      </c>
      <c r="G1569" s="3" t="str">
        <f>"00967294"</f>
        <v>00967294</v>
      </c>
    </row>
    <row r="1570" spans="1:7" x14ac:dyDescent="0.25">
      <c r="A1570" s="2">
        <v>1569</v>
      </c>
      <c r="B1570" s="3">
        <v>10603</v>
      </c>
      <c r="C1570" s="5" t="s">
        <v>777</v>
      </c>
      <c r="D1570" s="5" t="s">
        <v>424</v>
      </c>
      <c r="E1570" s="5" t="s">
        <v>2014</v>
      </c>
      <c r="F1570" s="3" t="s">
        <v>1552</v>
      </c>
      <c r="G1570" s="3" t="str">
        <f>"00448443"</f>
        <v>00448443</v>
      </c>
    </row>
    <row r="1571" spans="1:7" x14ac:dyDescent="0.25">
      <c r="A1571" s="2">
        <v>1570</v>
      </c>
      <c r="B1571" s="3">
        <v>11178</v>
      </c>
      <c r="C1571" s="5" t="s">
        <v>777</v>
      </c>
      <c r="D1571" s="5" t="s">
        <v>776</v>
      </c>
      <c r="E1571" s="5" t="s">
        <v>87</v>
      </c>
      <c r="F1571" s="3" t="s">
        <v>778</v>
      </c>
      <c r="G1571" s="3" t="str">
        <f>"00411157"</f>
        <v>00411157</v>
      </c>
    </row>
    <row r="1572" spans="1:7" x14ac:dyDescent="0.25">
      <c r="A1572" s="2">
        <v>1571</v>
      </c>
      <c r="B1572" s="3">
        <v>672</v>
      </c>
      <c r="C1572" s="5" t="s">
        <v>1076</v>
      </c>
      <c r="D1572" s="5" t="s">
        <v>1075</v>
      </c>
      <c r="E1572" s="5" t="s">
        <v>1500</v>
      </c>
      <c r="F1572" s="3" t="s">
        <v>1077</v>
      </c>
      <c r="G1572" s="3" t="str">
        <f>"00787527"</f>
        <v>00787527</v>
      </c>
    </row>
    <row r="1573" spans="1:7" x14ac:dyDescent="0.25">
      <c r="A1573" s="2">
        <v>1572</v>
      </c>
      <c r="B1573" s="3">
        <v>1791</v>
      </c>
      <c r="C1573" s="5" t="s">
        <v>1185</v>
      </c>
      <c r="D1573" s="5" t="s">
        <v>1184</v>
      </c>
      <c r="E1573" s="5" t="s">
        <v>14</v>
      </c>
      <c r="F1573" s="3" t="s">
        <v>1186</v>
      </c>
      <c r="G1573" s="3" t="str">
        <f>"00780853"</f>
        <v>00780853</v>
      </c>
    </row>
    <row r="1574" spans="1:7" x14ac:dyDescent="0.25">
      <c r="A1574" s="2">
        <v>1573</v>
      </c>
      <c r="B1574" s="3">
        <v>5223</v>
      </c>
      <c r="C1574" s="5" t="s">
        <v>45</v>
      </c>
      <c r="D1574" s="5" t="s">
        <v>44</v>
      </c>
      <c r="E1574" s="5" t="s">
        <v>87</v>
      </c>
      <c r="F1574" s="3" t="s">
        <v>46</v>
      </c>
      <c r="G1574" s="3" t="str">
        <f>"00983679"</f>
        <v>00983679</v>
      </c>
    </row>
    <row r="1575" spans="1:7" x14ac:dyDescent="0.25">
      <c r="A1575" s="2">
        <v>1574</v>
      </c>
      <c r="B1575" s="3">
        <v>2642</v>
      </c>
      <c r="C1575" s="5" t="s">
        <v>276</v>
      </c>
      <c r="D1575" s="5" t="s">
        <v>2743</v>
      </c>
      <c r="E1575" s="5" t="s">
        <v>87</v>
      </c>
      <c r="F1575" s="3" t="s">
        <v>2744</v>
      </c>
      <c r="G1575" s="3" t="str">
        <f>"00121969"</f>
        <v>00121969</v>
      </c>
    </row>
    <row r="1576" spans="1:7" x14ac:dyDescent="0.25">
      <c r="A1576" s="2">
        <v>1575</v>
      </c>
      <c r="B1576" s="3">
        <v>9005</v>
      </c>
      <c r="C1576" s="5" t="s">
        <v>276</v>
      </c>
      <c r="D1576" s="5" t="s">
        <v>1772</v>
      </c>
      <c r="E1576" s="5" t="s">
        <v>951</v>
      </c>
      <c r="F1576" s="3" t="s">
        <v>2258</v>
      </c>
      <c r="G1576" s="3" t="str">
        <f>"00982124"</f>
        <v>00982124</v>
      </c>
    </row>
    <row r="1577" spans="1:7" x14ac:dyDescent="0.25">
      <c r="A1577" s="2">
        <v>1576</v>
      </c>
      <c r="B1577" s="3">
        <v>6299</v>
      </c>
      <c r="C1577" s="5" t="s">
        <v>276</v>
      </c>
      <c r="D1577" s="5" t="s">
        <v>162</v>
      </c>
      <c r="E1577" s="5" t="s">
        <v>44</v>
      </c>
      <c r="F1577" s="3" t="s">
        <v>277</v>
      </c>
      <c r="G1577" s="3" t="str">
        <f>"01013007"</f>
        <v>01013007</v>
      </c>
    </row>
    <row r="1578" spans="1:7" x14ac:dyDescent="0.25">
      <c r="A1578" s="2">
        <v>1577</v>
      </c>
      <c r="B1578" s="3">
        <v>7167</v>
      </c>
      <c r="C1578" s="5" t="s">
        <v>276</v>
      </c>
      <c r="D1578" s="5" t="s">
        <v>162</v>
      </c>
      <c r="E1578" s="5" t="s">
        <v>129</v>
      </c>
      <c r="F1578" s="3" t="s">
        <v>1970</v>
      </c>
      <c r="G1578" s="3" t="str">
        <f>"00440110"</f>
        <v>00440110</v>
      </c>
    </row>
    <row r="1579" spans="1:7" x14ac:dyDescent="0.25">
      <c r="A1579" s="2">
        <v>1578</v>
      </c>
      <c r="B1579" s="3">
        <v>1505</v>
      </c>
      <c r="C1579" s="5" t="s">
        <v>1557</v>
      </c>
      <c r="D1579" s="5" t="s">
        <v>749</v>
      </c>
      <c r="E1579" s="5" t="s">
        <v>284</v>
      </c>
      <c r="F1579" s="3" t="s">
        <v>1558</v>
      </c>
      <c r="G1579" s="3" t="str">
        <f>"00367210"</f>
        <v>00367210</v>
      </c>
    </row>
    <row r="1580" spans="1:7" x14ac:dyDescent="0.25">
      <c r="A1580" s="2">
        <v>1579</v>
      </c>
      <c r="B1580" s="3">
        <v>7080</v>
      </c>
      <c r="C1580" s="5" t="s">
        <v>1557</v>
      </c>
      <c r="D1580" s="5" t="s">
        <v>3937</v>
      </c>
      <c r="E1580" s="5" t="s">
        <v>63</v>
      </c>
      <c r="F1580" s="3" t="s">
        <v>3938</v>
      </c>
      <c r="G1580" s="3" t="str">
        <f>"01017548"</f>
        <v>01017548</v>
      </c>
    </row>
    <row r="1581" spans="1:7" x14ac:dyDescent="0.25">
      <c r="A1581" s="2">
        <v>1580</v>
      </c>
      <c r="B1581" s="3">
        <v>8232</v>
      </c>
      <c r="C1581" s="5" t="s">
        <v>1681</v>
      </c>
      <c r="D1581" s="5" t="s">
        <v>16</v>
      </c>
      <c r="E1581" s="5" t="s">
        <v>129</v>
      </c>
      <c r="F1581" s="3">
        <v>709421017</v>
      </c>
      <c r="G1581" s="3" t="str">
        <f>"00440572"</f>
        <v>00440572</v>
      </c>
    </row>
    <row r="1582" spans="1:7" x14ac:dyDescent="0.25">
      <c r="A1582" s="2">
        <v>1581</v>
      </c>
      <c r="B1582" s="3">
        <v>2478</v>
      </c>
      <c r="C1582" s="5" t="s">
        <v>1681</v>
      </c>
      <c r="D1582" s="5" t="s">
        <v>52</v>
      </c>
      <c r="E1582" s="5" t="s">
        <v>44</v>
      </c>
      <c r="F1582" s="3" t="s">
        <v>1682</v>
      </c>
      <c r="G1582" s="3" t="str">
        <f>"00220777"</f>
        <v>00220777</v>
      </c>
    </row>
    <row r="1583" spans="1:7" x14ac:dyDescent="0.25">
      <c r="A1583" s="2">
        <v>1582</v>
      </c>
      <c r="B1583" s="3">
        <v>2919</v>
      </c>
      <c r="C1583" s="5" t="s">
        <v>3771</v>
      </c>
      <c r="D1583" s="5" t="s">
        <v>3770</v>
      </c>
      <c r="E1583" s="5" t="s">
        <v>52</v>
      </c>
      <c r="F1583" s="3" t="s">
        <v>3772</v>
      </c>
      <c r="G1583" s="3" t="str">
        <f>"00553092"</f>
        <v>00553092</v>
      </c>
    </row>
    <row r="1584" spans="1:7" x14ac:dyDescent="0.25">
      <c r="A1584" s="2">
        <v>1583</v>
      </c>
      <c r="B1584" s="3">
        <v>11082</v>
      </c>
      <c r="C1584" s="5" t="s">
        <v>3856</v>
      </c>
      <c r="D1584" s="5" t="s">
        <v>94</v>
      </c>
      <c r="E1584" s="5" t="s">
        <v>52</v>
      </c>
      <c r="F1584" s="3" t="s">
        <v>3857</v>
      </c>
      <c r="G1584" s="3" t="str">
        <f>"01011531"</f>
        <v>01011531</v>
      </c>
    </row>
    <row r="1585" spans="1:7" x14ac:dyDescent="0.25">
      <c r="A1585" s="2">
        <v>1584</v>
      </c>
      <c r="B1585" s="3">
        <v>12140</v>
      </c>
      <c r="C1585" s="5" t="s">
        <v>2168</v>
      </c>
      <c r="D1585" s="5" t="s">
        <v>1023</v>
      </c>
      <c r="E1585" s="5" t="s">
        <v>3932</v>
      </c>
      <c r="F1585" s="3" t="s">
        <v>2169</v>
      </c>
      <c r="G1585" s="3" t="str">
        <f>"00979010"</f>
        <v>00979010</v>
      </c>
    </row>
    <row r="1586" spans="1:7" x14ac:dyDescent="0.25">
      <c r="A1586" s="2">
        <v>1585</v>
      </c>
      <c r="B1586" s="3">
        <v>12552</v>
      </c>
      <c r="C1586" s="5" t="s">
        <v>2944</v>
      </c>
      <c r="D1586" s="5" t="s">
        <v>2943</v>
      </c>
      <c r="E1586" s="5" t="s">
        <v>129</v>
      </c>
      <c r="F1586" s="3" t="s">
        <v>2945</v>
      </c>
      <c r="G1586" s="3" t="str">
        <f>"01013761"</f>
        <v>01013761</v>
      </c>
    </row>
    <row r="1587" spans="1:7" x14ac:dyDescent="0.25">
      <c r="A1587" s="2">
        <v>1586</v>
      </c>
      <c r="B1587" s="3">
        <v>2003</v>
      </c>
      <c r="C1587" s="5" t="s">
        <v>3978</v>
      </c>
      <c r="D1587" s="5" t="s">
        <v>198</v>
      </c>
      <c r="E1587" s="5" t="s">
        <v>382</v>
      </c>
      <c r="F1587" s="3" t="s">
        <v>3979</v>
      </c>
      <c r="G1587" s="3" t="str">
        <f>"00840188"</f>
        <v>00840188</v>
      </c>
    </row>
    <row r="1588" spans="1:7" x14ac:dyDescent="0.25">
      <c r="A1588" s="2">
        <v>1587</v>
      </c>
      <c r="B1588" s="3">
        <v>12724</v>
      </c>
      <c r="C1588" s="5" t="s">
        <v>2840</v>
      </c>
      <c r="D1588" s="5" t="s">
        <v>14</v>
      </c>
      <c r="E1588" s="5" t="s">
        <v>11</v>
      </c>
      <c r="F1588" s="3" t="s">
        <v>2841</v>
      </c>
      <c r="G1588" s="3" t="str">
        <f>"00981918"</f>
        <v>00981918</v>
      </c>
    </row>
    <row r="1589" spans="1:7" x14ac:dyDescent="0.25">
      <c r="A1589" s="2">
        <v>1588</v>
      </c>
      <c r="B1589" s="3">
        <v>12139</v>
      </c>
      <c r="C1589" s="5" t="s">
        <v>2056</v>
      </c>
      <c r="D1589" s="5" t="s">
        <v>252</v>
      </c>
      <c r="E1589" s="5" t="s">
        <v>11</v>
      </c>
      <c r="F1589" s="3" t="s">
        <v>2057</v>
      </c>
      <c r="G1589" s="3" t="str">
        <f>"00972496"</f>
        <v>00972496</v>
      </c>
    </row>
    <row r="1590" spans="1:7" x14ac:dyDescent="0.25">
      <c r="A1590" s="2">
        <v>1589</v>
      </c>
      <c r="B1590" s="3">
        <v>2923</v>
      </c>
      <c r="C1590" s="5" t="s">
        <v>4729</v>
      </c>
      <c r="D1590" s="5" t="s">
        <v>4728</v>
      </c>
      <c r="E1590" s="5" t="s">
        <v>87</v>
      </c>
      <c r="F1590" s="3" t="s">
        <v>4730</v>
      </c>
      <c r="G1590" s="3" t="str">
        <f>"01014414"</f>
        <v>01014414</v>
      </c>
    </row>
    <row r="1591" spans="1:7" x14ac:dyDescent="0.25">
      <c r="A1591" s="2">
        <v>1590</v>
      </c>
      <c r="B1591" s="3">
        <v>1243</v>
      </c>
      <c r="C1591" s="5" t="s">
        <v>3536</v>
      </c>
      <c r="D1591" s="5" t="s">
        <v>5</v>
      </c>
      <c r="E1591" s="5" t="s">
        <v>44</v>
      </c>
      <c r="F1591" s="3" t="s">
        <v>3537</v>
      </c>
      <c r="G1591" s="3" t="str">
        <f>"00827004"</f>
        <v>00827004</v>
      </c>
    </row>
    <row r="1592" spans="1:7" x14ac:dyDescent="0.25">
      <c r="A1592" s="2">
        <v>1591</v>
      </c>
      <c r="B1592" s="3">
        <v>10642</v>
      </c>
      <c r="C1592" s="5" t="s">
        <v>4779</v>
      </c>
      <c r="D1592" s="5" t="s">
        <v>27</v>
      </c>
      <c r="E1592" s="5" t="s">
        <v>38</v>
      </c>
      <c r="F1592" s="3" t="s">
        <v>4780</v>
      </c>
      <c r="G1592" s="3" t="str">
        <f>"01010401"</f>
        <v>01010401</v>
      </c>
    </row>
    <row r="1593" spans="1:7" x14ac:dyDescent="0.25">
      <c r="A1593" s="2">
        <v>1592</v>
      </c>
      <c r="B1593" s="3">
        <v>2991</v>
      </c>
      <c r="C1593" s="5" t="s">
        <v>4580</v>
      </c>
      <c r="D1593" s="5" t="s">
        <v>126</v>
      </c>
      <c r="E1593" s="5" t="s">
        <v>2017</v>
      </c>
      <c r="F1593" s="3">
        <v>900248014</v>
      </c>
      <c r="G1593" s="3" t="str">
        <f>"00501174"</f>
        <v>00501174</v>
      </c>
    </row>
    <row r="1594" spans="1:7" x14ac:dyDescent="0.25">
      <c r="A1594" s="2">
        <v>1593</v>
      </c>
      <c r="B1594" s="3">
        <v>11659</v>
      </c>
      <c r="C1594" s="5" t="s">
        <v>1139</v>
      </c>
      <c r="D1594" s="5" t="s">
        <v>87</v>
      </c>
      <c r="E1594" s="5" t="s">
        <v>52</v>
      </c>
      <c r="F1594" s="3" t="s">
        <v>3690</v>
      </c>
      <c r="G1594" s="3" t="str">
        <f>"00923189"</f>
        <v>00923189</v>
      </c>
    </row>
    <row r="1595" spans="1:7" x14ac:dyDescent="0.25">
      <c r="A1595" s="2">
        <v>1594</v>
      </c>
      <c r="B1595" s="3">
        <v>11090</v>
      </c>
      <c r="C1595" s="5" t="s">
        <v>1139</v>
      </c>
      <c r="D1595" s="5" t="s">
        <v>91</v>
      </c>
      <c r="E1595" s="5" t="s">
        <v>82</v>
      </c>
      <c r="F1595" s="3" t="s">
        <v>4013</v>
      </c>
      <c r="G1595" s="3" t="str">
        <f>"00774653"</f>
        <v>00774653</v>
      </c>
    </row>
    <row r="1596" spans="1:7" x14ac:dyDescent="0.25">
      <c r="A1596" s="2">
        <v>1595</v>
      </c>
      <c r="B1596" s="3">
        <v>5136</v>
      </c>
      <c r="C1596" s="5" t="s">
        <v>2656</v>
      </c>
      <c r="D1596" s="5" t="s">
        <v>2655</v>
      </c>
      <c r="E1596" s="5" t="s">
        <v>2033</v>
      </c>
      <c r="F1596" s="3">
        <v>711302017</v>
      </c>
      <c r="G1596" s="3" t="str">
        <f>"01015252"</f>
        <v>01015252</v>
      </c>
    </row>
    <row r="1597" spans="1:7" x14ac:dyDescent="0.25">
      <c r="A1597" s="2">
        <v>1596</v>
      </c>
      <c r="B1597" s="3">
        <v>4487</v>
      </c>
      <c r="C1597" s="5" t="s">
        <v>2656</v>
      </c>
      <c r="D1597" s="5" t="s">
        <v>11</v>
      </c>
      <c r="E1597" s="5" t="s">
        <v>2033</v>
      </c>
      <c r="F1597" s="3" t="s">
        <v>2684</v>
      </c>
      <c r="G1597" s="3" t="str">
        <f>"00987447"</f>
        <v>00987447</v>
      </c>
    </row>
    <row r="1598" spans="1:7" x14ac:dyDescent="0.25">
      <c r="A1598" s="2">
        <v>1597</v>
      </c>
      <c r="B1598" s="3">
        <v>6806</v>
      </c>
      <c r="C1598" s="5" t="s">
        <v>3229</v>
      </c>
      <c r="D1598" s="5" t="s">
        <v>644</v>
      </c>
      <c r="E1598" s="5" t="s">
        <v>214</v>
      </c>
      <c r="F1598" s="3" t="s">
        <v>3230</v>
      </c>
      <c r="G1598" s="3" t="str">
        <f>"00138293"</f>
        <v>00138293</v>
      </c>
    </row>
    <row r="1599" spans="1:7" x14ac:dyDescent="0.25">
      <c r="A1599" s="2">
        <v>1598</v>
      </c>
      <c r="B1599" s="3">
        <v>10425</v>
      </c>
      <c r="C1599" s="5" t="s">
        <v>1137</v>
      </c>
      <c r="D1599" s="5" t="s">
        <v>44</v>
      </c>
      <c r="E1599" s="5" t="s">
        <v>184</v>
      </c>
      <c r="F1599" s="3" t="s">
        <v>1138</v>
      </c>
      <c r="G1599" s="3" t="str">
        <f>"00449155"</f>
        <v>00449155</v>
      </c>
    </row>
    <row r="1600" spans="1:7" x14ac:dyDescent="0.25">
      <c r="A1600" s="2">
        <v>1599</v>
      </c>
      <c r="B1600" s="3">
        <v>7008</v>
      </c>
      <c r="C1600" s="5" t="s">
        <v>2582</v>
      </c>
      <c r="D1600" s="5" t="s">
        <v>2581</v>
      </c>
      <c r="E1600" s="5" t="s">
        <v>252</v>
      </c>
      <c r="F1600" s="3" t="s">
        <v>2583</v>
      </c>
      <c r="G1600" s="3" t="str">
        <f>"00985841"</f>
        <v>00985841</v>
      </c>
    </row>
    <row r="1601" spans="1:7" x14ac:dyDescent="0.25">
      <c r="A1601" s="2">
        <v>1600</v>
      </c>
      <c r="B1601" s="3">
        <v>3905</v>
      </c>
      <c r="C1601" s="5" t="s">
        <v>2361</v>
      </c>
      <c r="D1601" s="5" t="s">
        <v>830</v>
      </c>
      <c r="E1601" s="5" t="s">
        <v>38</v>
      </c>
      <c r="F1601" s="3" t="s">
        <v>2362</v>
      </c>
      <c r="G1601" s="3" t="str">
        <f>"00973035"</f>
        <v>00973035</v>
      </c>
    </row>
    <row r="1602" spans="1:7" x14ac:dyDescent="0.25">
      <c r="A1602" s="2">
        <v>1601</v>
      </c>
      <c r="B1602" s="3">
        <v>10696</v>
      </c>
      <c r="C1602" s="5" t="s">
        <v>1026</v>
      </c>
      <c r="D1602" s="5" t="s">
        <v>84</v>
      </c>
      <c r="E1602" s="5" t="s">
        <v>82</v>
      </c>
      <c r="F1602" s="3" t="s">
        <v>1146</v>
      </c>
      <c r="G1602" s="3" t="str">
        <f>"00983319"</f>
        <v>00983319</v>
      </c>
    </row>
    <row r="1603" spans="1:7" x14ac:dyDescent="0.25">
      <c r="A1603" s="2">
        <v>1602</v>
      </c>
      <c r="B1603" s="3">
        <v>10924</v>
      </c>
      <c r="C1603" s="5" t="s">
        <v>1026</v>
      </c>
      <c r="D1603" s="5" t="s">
        <v>87</v>
      </c>
      <c r="E1603" s="5" t="s">
        <v>52</v>
      </c>
      <c r="F1603" s="3" t="s">
        <v>3843</v>
      </c>
      <c r="G1603" s="3" t="str">
        <f>"00709189"</f>
        <v>00709189</v>
      </c>
    </row>
    <row r="1604" spans="1:7" x14ac:dyDescent="0.25">
      <c r="A1604" s="2">
        <v>1603</v>
      </c>
      <c r="B1604" s="3">
        <v>6283</v>
      </c>
      <c r="C1604" s="5" t="s">
        <v>1026</v>
      </c>
      <c r="D1604" s="5" t="s">
        <v>545</v>
      </c>
      <c r="E1604" s="5" t="s">
        <v>87</v>
      </c>
      <c r="F1604" s="3" t="s">
        <v>1027</v>
      </c>
      <c r="G1604" s="3" t="str">
        <f>"00982919"</f>
        <v>00982919</v>
      </c>
    </row>
    <row r="1605" spans="1:7" x14ac:dyDescent="0.25">
      <c r="A1605" s="2">
        <v>1604</v>
      </c>
      <c r="B1605" s="3">
        <v>2955</v>
      </c>
      <c r="C1605" s="5" t="s">
        <v>1026</v>
      </c>
      <c r="D1605" s="5" t="s">
        <v>622</v>
      </c>
      <c r="E1605" s="5" t="s">
        <v>82</v>
      </c>
      <c r="F1605" s="3" t="s">
        <v>2535</v>
      </c>
      <c r="G1605" s="3" t="str">
        <f>"00446623"</f>
        <v>00446623</v>
      </c>
    </row>
    <row r="1606" spans="1:7" x14ac:dyDescent="0.25">
      <c r="A1606" s="2">
        <v>1605</v>
      </c>
      <c r="B1606" s="3">
        <v>5991</v>
      </c>
      <c r="C1606" s="5" t="s">
        <v>1026</v>
      </c>
      <c r="D1606" s="5" t="s">
        <v>2504</v>
      </c>
      <c r="E1606" s="5" t="s">
        <v>87</v>
      </c>
      <c r="F1606" s="3" t="s">
        <v>2505</v>
      </c>
      <c r="G1606" s="3" t="str">
        <f>"00835543"</f>
        <v>00835543</v>
      </c>
    </row>
    <row r="1607" spans="1:7" x14ac:dyDescent="0.25">
      <c r="A1607" s="2">
        <v>1606</v>
      </c>
      <c r="B1607" s="3">
        <v>7802</v>
      </c>
      <c r="C1607" s="5" t="s">
        <v>3246</v>
      </c>
      <c r="D1607" s="5" t="s">
        <v>99</v>
      </c>
      <c r="E1607" s="5" t="s">
        <v>11</v>
      </c>
      <c r="F1607" s="3" t="s">
        <v>3247</v>
      </c>
      <c r="G1607" s="3" t="str">
        <f>"00876549"</f>
        <v>00876549</v>
      </c>
    </row>
    <row r="1608" spans="1:7" x14ac:dyDescent="0.25">
      <c r="A1608" s="2">
        <v>1607</v>
      </c>
      <c r="B1608" s="3">
        <v>2831</v>
      </c>
      <c r="C1608" s="5" t="s">
        <v>3246</v>
      </c>
      <c r="D1608" s="5" t="s">
        <v>4427</v>
      </c>
      <c r="E1608" s="5" t="s">
        <v>63</v>
      </c>
      <c r="F1608" s="3" t="s">
        <v>4428</v>
      </c>
      <c r="G1608" s="3" t="str">
        <f>"00995317"</f>
        <v>00995317</v>
      </c>
    </row>
    <row r="1609" spans="1:7" x14ac:dyDescent="0.25">
      <c r="A1609" s="2">
        <v>1608</v>
      </c>
      <c r="B1609" s="3">
        <v>10976</v>
      </c>
      <c r="C1609" s="5" t="s">
        <v>976</v>
      </c>
      <c r="D1609" s="5" t="s">
        <v>32</v>
      </c>
      <c r="E1609" s="5" t="s">
        <v>44</v>
      </c>
      <c r="F1609" s="3" t="s">
        <v>977</v>
      </c>
      <c r="G1609" s="3" t="str">
        <f>"00985615"</f>
        <v>00985615</v>
      </c>
    </row>
    <row r="1610" spans="1:7" x14ac:dyDescent="0.25">
      <c r="A1610" s="2">
        <v>1609</v>
      </c>
      <c r="B1610" s="3">
        <v>5762</v>
      </c>
      <c r="C1610" s="5" t="s">
        <v>2090</v>
      </c>
      <c r="D1610" s="5" t="s">
        <v>44</v>
      </c>
      <c r="E1610" s="5" t="s">
        <v>284</v>
      </c>
      <c r="F1610" s="3" t="s">
        <v>2091</v>
      </c>
      <c r="G1610" s="3" t="str">
        <f>"01017754"</f>
        <v>01017754</v>
      </c>
    </row>
    <row r="1611" spans="1:7" x14ac:dyDescent="0.25">
      <c r="A1611" s="2">
        <v>1610</v>
      </c>
      <c r="B1611" s="3">
        <v>8782</v>
      </c>
      <c r="C1611" s="5" t="s">
        <v>3184</v>
      </c>
      <c r="D1611" s="5" t="s">
        <v>3080</v>
      </c>
      <c r="E1611" s="5" t="s">
        <v>4876</v>
      </c>
      <c r="F1611" s="3" t="s">
        <v>3185</v>
      </c>
      <c r="G1611" s="3" t="str">
        <f>"01018192"</f>
        <v>01018192</v>
      </c>
    </row>
    <row r="1612" spans="1:7" x14ac:dyDescent="0.25">
      <c r="A1612" s="2">
        <v>1611</v>
      </c>
      <c r="B1612" s="3">
        <v>3575</v>
      </c>
      <c r="C1612" s="5" t="s">
        <v>681</v>
      </c>
      <c r="D1612" s="5" t="s">
        <v>588</v>
      </c>
      <c r="E1612" s="5" t="s">
        <v>810</v>
      </c>
      <c r="F1612" s="3" t="s">
        <v>682</v>
      </c>
      <c r="G1612" s="3" t="str">
        <f>"00869733"</f>
        <v>00869733</v>
      </c>
    </row>
    <row r="1613" spans="1:7" x14ac:dyDescent="0.25">
      <c r="A1613" s="2">
        <v>1612</v>
      </c>
      <c r="B1613" s="3">
        <v>4710</v>
      </c>
      <c r="C1613" s="5" t="s">
        <v>2484</v>
      </c>
      <c r="D1613" s="5" t="s">
        <v>14</v>
      </c>
      <c r="E1613" s="5" t="s">
        <v>5</v>
      </c>
      <c r="F1613" s="3" t="s">
        <v>2485</v>
      </c>
      <c r="G1613" s="3" t="str">
        <f>"00979077"</f>
        <v>00979077</v>
      </c>
    </row>
    <row r="1614" spans="1:7" x14ac:dyDescent="0.25">
      <c r="A1614" s="2">
        <v>1613</v>
      </c>
      <c r="B1614" s="3">
        <v>3168</v>
      </c>
      <c r="C1614" s="5" t="s">
        <v>962</v>
      </c>
      <c r="D1614" s="5" t="s">
        <v>84</v>
      </c>
      <c r="E1614" s="5" t="s">
        <v>52</v>
      </c>
      <c r="F1614" s="3" t="s">
        <v>963</v>
      </c>
      <c r="G1614" s="3" t="str">
        <f>"01014417"</f>
        <v>01014417</v>
      </c>
    </row>
    <row r="1615" spans="1:7" x14ac:dyDescent="0.25">
      <c r="A1615" s="2">
        <v>1614</v>
      </c>
      <c r="B1615" s="3">
        <v>4335</v>
      </c>
      <c r="C1615" s="5" t="s">
        <v>962</v>
      </c>
      <c r="D1615" s="5" t="s">
        <v>159</v>
      </c>
      <c r="E1615" s="5" t="s">
        <v>5</v>
      </c>
      <c r="F1615" s="3" t="s">
        <v>1086</v>
      </c>
      <c r="G1615" s="3" t="str">
        <f>"00312313"</f>
        <v>00312313</v>
      </c>
    </row>
    <row r="1616" spans="1:7" x14ac:dyDescent="0.25">
      <c r="A1616" s="2">
        <v>1615</v>
      </c>
      <c r="B1616" s="3">
        <v>190</v>
      </c>
      <c r="C1616" s="5" t="s">
        <v>962</v>
      </c>
      <c r="D1616" s="5" t="s">
        <v>123</v>
      </c>
      <c r="E1616" s="5" t="s">
        <v>52</v>
      </c>
      <c r="F1616" s="3" t="s">
        <v>2112</v>
      </c>
      <c r="G1616" s="3" t="str">
        <f>"00743695"</f>
        <v>00743695</v>
      </c>
    </row>
    <row r="1617" spans="1:7" x14ac:dyDescent="0.25">
      <c r="A1617" s="2">
        <v>1616</v>
      </c>
      <c r="B1617" s="3">
        <v>5699</v>
      </c>
      <c r="C1617" s="5" t="s">
        <v>962</v>
      </c>
      <c r="D1617" s="5" t="s">
        <v>14</v>
      </c>
      <c r="E1617" s="5" t="s">
        <v>11</v>
      </c>
      <c r="F1617" s="3" t="s">
        <v>4269</v>
      </c>
      <c r="G1617" s="3" t="str">
        <f>"00986910"</f>
        <v>00986910</v>
      </c>
    </row>
    <row r="1618" spans="1:7" x14ac:dyDescent="0.25">
      <c r="A1618" s="2">
        <v>1617</v>
      </c>
      <c r="B1618" s="3">
        <v>4821</v>
      </c>
      <c r="C1618" s="5" t="s">
        <v>962</v>
      </c>
      <c r="D1618" s="5" t="s">
        <v>126</v>
      </c>
      <c r="E1618" s="5" t="s">
        <v>11</v>
      </c>
      <c r="F1618" s="3">
        <v>900673010</v>
      </c>
      <c r="G1618" s="3" t="str">
        <f>"00984367"</f>
        <v>00984367</v>
      </c>
    </row>
    <row r="1619" spans="1:7" x14ac:dyDescent="0.25">
      <c r="A1619" s="2">
        <v>1618</v>
      </c>
      <c r="B1619" s="3">
        <v>4563</v>
      </c>
      <c r="C1619" s="5" t="s">
        <v>962</v>
      </c>
      <c r="D1619" s="5" t="s">
        <v>752</v>
      </c>
      <c r="E1619" s="5" t="s">
        <v>63</v>
      </c>
      <c r="F1619" s="3" t="s">
        <v>2926</v>
      </c>
      <c r="G1619" s="3" t="str">
        <f>"00986561"</f>
        <v>00986561</v>
      </c>
    </row>
    <row r="1620" spans="1:7" x14ac:dyDescent="0.25">
      <c r="A1620" s="2">
        <v>1619</v>
      </c>
      <c r="B1620" s="3">
        <v>10321</v>
      </c>
      <c r="C1620" s="5" t="s">
        <v>962</v>
      </c>
      <c r="D1620" s="5" t="s">
        <v>5</v>
      </c>
      <c r="E1620" s="5" t="s">
        <v>52</v>
      </c>
      <c r="F1620" s="3" t="s">
        <v>1059</v>
      </c>
      <c r="G1620" s="3" t="str">
        <f>"00943857"</f>
        <v>00943857</v>
      </c>
    </row>
    <row r="1621" spans="1:7" x14ac:dyDescent="0.25">
      <c r="A1621" s="2">
        <v>1620</v>
      </c>
      <c r="B1621" s="3">
        <v>10762</v>
      </c>
      <c r="C1621" s="5" t="s">
        <v>178</v>
      </c>
      <c r="D1621" s="5" t="s">
        <v>66</v>
      </c>
      <c r="E1621" s="5" t="s">
        <v>82</v>
      </c>
      <c r="F1621" s="3" t="s">
        <v>179</v>
      </c>
      <c r="G1621" s="3" t="str">
        <f>"00104483"</f>
        <v>00104483</v>
      </c>
    </row>
    <row r="1622" spans="1:7" x14ac:dyDescent="0.25">
      <c r="A1622" s="2">
        <v>1621</v>
      </c>
      <c r="B1622" s="3">
        <v>9078</v>
      </c>
      <c r="C1622" s="5" t="s">
        <v>3841</v>
      </c>
      <c r="D1622" s="5" t="s">
        <v>3840</v>
      </c>
      <c r="E1622" s="5" t="s">
        <v>87</v>
      </c>
      <c r="F1622" s="3" t="s">
        <v>3842</v>
      </c>
      <c r="G1622" s="3" t="str">
        <f>"00868187"</f>
        <v>00868187</v>
      </c>
    </row>
    <row r="1623" spans="1:7" x14ac:dyDescent="0.25">
      <c r="A1623" s="2">
        <v>1622</v>
      </c>
      <c r="B1623" s="3">
        <v>1860</v>
      </c>
      <c r="C1623" s="5" t="s">
        <v>1081</v>
      </c>
      <c r="D1623" s="5" t="s">
        <v>1080</v>
      </c>
      <c r="E1623" s="5" t="s">
        <v>32</v>
      </c>
      <c r="F1623" s="3" t="s">
        <v>1082</v>
      </c>
      <c r="G1623" s="3" t="str">
        <f>"00183953"</f>
        <v>00183953</v>
      </c>
    </row>
    <row r="1624" spans="1:7" x14ac:dyDescent="0.25">
      <c r="A1624" s="2">
        <v>1623</v>
      </c>
      <c r="B1624" s="3">
        <v>12541</v>
      </c>
      <c r="C1624" s="5" t="s">
        <v>1581</v>
      </c>
      <c r="D1624" s="5" t="s">
        <v>159</v>
      </c>
      <c r="E1624" s="5" t="s">
        <v>4827</v>
      </c>
      <c r="F1624" s="3" t="s">
        <v>1582</v>
      </c>
      <c r="G1624" s="3" t="str">
        <f>"00269823"</f>
        <v>00269823</v>
      </c>
    </row>
    <row r="1625" spans="1:7" x14ac:dyDescent="0.25">
      <c r="A1625" s="2">
        <v>1624</v>
      </c>
      <c r="B1625" s="3">
        <v>4409</v>
      </c>
      <c r="C1625" s="5" t="s">
        <v>171</v>
      </c>
      <c r="D1625" s="5" t="s">
        <v>32</v>
      </c>
      <c r="E1625" s="5" t="s">
        <v>63</v>
      </c>
      <c r="F1625" s="3" t="s">
        <v>3392</v>
      </c>
      <c r="G1625" s="3" t="str">
        <f>"00255780"</f>
        <v>00255780</v>
      </c>
    </row>
    <row r="1626" spans="1:7" x14ac:dyDescent="0.25">
      <c r="A1626" s="2">
        <v>1625</v>
      </c>
      <c r="B1626" s="3">
        <v>12860</v>
      </c>
      <c r="C1626" s="5" t="s">
        <v>171</v>
      </c>
      <c r="D1626" s="5" t="s">
        <v>32</v>
      </c>
      <c r="E1626" s="5" t="s">
        <v>27</v>
      </c>
      <c r="F1626" s="3" t="s">
        <v>3900</v>
      </c>
      <c r="G1626" s="3" t="str">
        <f>"01015219"</f>
        <v>01015219</v>
      </c>
    </row>
    <row r="1627" spans="1:7" x14ac:dyDescent="0.25">
      <c r="A1627" s="2">
        <v>1626</v>
      </c>
      <c r="B1627" s="3">
        <v>2828</v>
      </c>
      <c r="C1627" s="5" t="s">
        <v>171</v>
      </c>
      <c r="D1627" s="5" t="s">
        <v>87</v>
      </c>
      <c r="E1627" s="5" t="s">
        <v>44</v>
      </c>
      <c r="F1627" s="3">
        <v>1325365</v>
      </c>
      <c r="G1627" s="3" t="str">
        <f>"01017997"</f>
        <v>01017997</v>
      </c>
    </row>
    <row r="1628" spans="1:7" x14ac:dyDescent="0.25">
      <c r="A1628" s="2">
        <v>1627</v>
      </c>
      <c r="B1628" s="3">
        <v>7243</v>
      </c>
      <c r="C1628" s="5" t="s">
        <v>171</v>
      </c>
      <c r="D1628" s="5" t="s">
        <v>52</v>
      </c>
      <c r="E1628" s="5" t="s">
        <v>2772</v>
      </c>
      <c r="F1628" s="3" t="s">
        <v>3602</v>
      </c>
      <c r="G1628" s="3" t="str">
        <f>"00817815"</f>
        <v>00817815</v>
      </c>
    </row>
    <row r="1629" spans="1:7" x14ac:dyDescent="0.25">
      <c r="A1629" s="2">
        <v>1628</v>
      </c>
      <c r="B1629" s="3">
        <v>8750</v>
      </c>
      <c r="C1629" s="5" t="s">
        <v>171</v>
      </c>
      <c r="D1629" s="5" t="s">
        <v>2076</v>
      </c>
      <c r="E1629" s="5" t="s">
        <v>52</v>
      </c>
      <c r="F1629" s="3" t="s">
        <v>4078</v>
      </c>
      <c r="G1629" s="3" t="str">
        <f>"00979749"</f>
        <v>00979749</v>
      </c>
    </row>
    <row r="1630" spans="1:7" x14ac:dyDescent="0.25">
      <c r="A1630" s="2">
        <v>1629</v>
      </c>
      <c r="B1630" s="3">
        <v>10229</v>
      </c>
      <c r="C1630" s="5" t="s">
        <v>171</v>
      </c>
      <c r="D1630" s="5" t="s">
        <v>184</v>
      </c>
      <c r="E1630" s="5" t="s">
        <v>4830</v>
      </c>
      <c r="F1630" s="3" t="s">
        <v>1653</v>
      </c>
      <c r="G1630" s="3" t="str">
        <f>"00816544"</f>
        <v>00816544</v>
      </c>
    </row>
    <row r="1631" spans="1:7" x14ac:dyDescent="0.25">
      <c r="A1631" s="2">
        <v>1630</v>
      </c>
      <c r="B1631" s="3">
        <v>8137</v>
      </c>
      <c r="C1631" s="5" t="s">
        <v>171</v>
      </c>
      <c r="D1631" s="5" t="s">
        <v>2807</v>
      </c>
      <c r="E1631" s="5" t="s">
        <v>421</v>
      </c>
      <c r="F1631" s="3" t="s">
        <v>2808</v>
      </c>
      <c r="G1631" s="3" t="str">
        <f>"00905441"</f>
        <v>00905441</v>
      </c>
    </row>
    <row r="1632" spans="1:7" x14ac:dyDescent="0.25">
      <c r="A1632" s="2">
        <v>1631</v>
      </c>
      <c r="B1632" s="3">
        <v>7988</v>
      </c>
      <c r="C1632" s="5" t="s">
        <v>171</v>
      </c>
      <c r="D1632" s="5" t="s">
        <v>14</v>
      </c>
      <c r="E1632" s="5" t="s">
        <v>207</v>
      </c>
      <c r="F1632" s="3" t="s">
        <v>2254</v>
      </c>
      <c r="G1632" s="3" t="str">
        <f>"01014287"</f>
        <v>01014287</v>
      </c>
    </row>
    <row r="1633" spans="1:7" x14ac:dyDescent="0.25">
      <c r="A1633" s="2">
        <v>1632</v>
      </c>
      <c r="B1633" s="3">
        <v>10408</v>
      </c>
      <c r="C1633" s="5" t="s">
        <v>171</v>
      </c>
      <c r="D1633" s="5" t="s">
        <v>14</v>
      </c>
      <c r="E1633" s="5" t="s">
        <v>2786</v>
      </c>
      <c r="F1633" s="3" t="s">
        <v>3079</v>
      </c>
      <c r="G1633" s="3" t="str">
        <f>"00973360"</f>
        <v>00973360</v>
      </c>
    </row>
    <row r="1634" spans="1:7" x14ac:dyDescent="0.25">
      <c r="A1634" s="2">
        <v>1633</v>
      </c>
      <c r="B1634" s="3">
        <v>5568</v>
      </c>
      <c r="C1634" s="5" t="s">
        <v>171</v>
      </c>
      <c r="D1634" s="5" t="s">
        <v>170</v>
      </c>
      <c r="E1634" s="5" t="s">
        <v>44</v>
      </c>
      <c r="F1634" s="3" t="s">
        <v>172</v>
      </c>
      <c r="G1634" s="3" t="str">
        <f>"00547999"</f>
        <v>00547999</v>
      </c>
    </row>
    <row r="1635" spans="1:7" x14ac:dyDescent="0.25">
      <c r="A1635" s="2">
        <v>1634</v>
      </c>
      <c r="B1635" s="3">
        <v>9617</v>
      </c>
      <c r="C1635" s="5" t="s">
        <v>171</v>
      </c>
      <c r="D1635" s="5" t="s">
        <v>424</v>
      </c>
      <c r="E1635" s="5" t="s">
        <v>87</v>
      </c>
      <c r="F1635" s="3" t="s">
        <v>4008</v>
      </c>
      <c r="G1635" s="3" t="str">
        <f>"00981782"</f>
        <v>00981782</v>
      </c>
    </row>
    <row r="1636" spans="1:7" x14ac:dyDescent="0.25">
      <c r="A1636" s="2">
        <v>1635</v>
      </c>
      <c r="B1636" s="3">
        <v>7198</v>
      </c>
      <c r="C1636" s="5" t="s">
        <v>171</v>
      </c>
      <c r="D1636" s="5" t="s">
        <v>44</v>
      </c>
      <c r="E1636" s="5" t="s">
        <v>667</v>
      </c>
      <c r="F1636" s="3" t="s">
        <v>3967</v>
      </c>
      <c r="G1636" s="3" t="str">
        <f>"00150180"</f>
        <v>00150180</v>
      </c>
    </row>
    <row r="1637" spans="1:7" x14ac:dyDescent="0.25">
      <c r="A1637" s="2">
        <v>1636</v>
      </c>
      <c r="B1637" s="3">
        <v>3026</v>
      </c>
      <c r="C1637" s="5" t="s">
        <v>171</v>
      </c>
      <c r="D1637" s="5" t="s">
        <v>63</v>
      </c>
      <c r="E1637" s="5" t="s">
        <v>11</v>
      </c>
      <c r="F1637" s="3" t="s">
        <v>2177</v>
      </c>
      <c r="G1637" s="3" t="str">
        <f>"00770455"</f>
        <v>00770455</v>
      </c>
    </row>
    <row r="1638" spans="1:7" x14ac:dyDescent="0.25">
      <c r="A1638" s="2">
        <v>1637</v>
      </c>
      <c r="B1638" s="3">
        <v>4414</v>
      </c>
      <c r="C1638" s="5" t="s">
        <v>171</v>
      </c>
      <c r="D1638" s="5" t="s">
        <v>11</v>
      </c>
      <c r="E1638" s="5" t="s">
        <v>14</v>
      </c>
      <c r="F1638" s="3" t="s">
        <v>861</v>
      </c>
      <c r="G1638" s="3" t="str">
        <f>"00975206"</f>
        <v>00975206</v>
      </c>
    </row>
    <row r="1639" spans="1:7" x14ac:dyDescent="0.25">
      <c r="A1639" s="2">
        <v>1638</v>
      </c>
      <c r="B1639" s="3">
        <v>9303</v>
      </c>
      <c r="C1639" s="5" t="s">
        <v>171</v>
      </c>
      <c r="D1639" s="5" t="s">
        <v>582</v>
      </c>
      <c r="E1639" s="5" t="s">
        <v>1016</v>
      </c>
      <c r="F1639" s="3" t="s">
        <v>2100</v>
      </c>
      <c r="G1639" s="3" t="str">
        <f>"00808646"</f>
        <v>00808646</v>
      </c>
    </row>
    <row r="1640" spans="1:7" x14ac:dyDescent="0.25">
      <c r="A1640" s="2">
        <v>1639</v>
      </c>
      <c r="B1640" s="3">
        <v>10275</v>
      </c>
      <c r="C1640" s="5" t="s">
        <v>171</v>
      </c>
      <c r="D1640" s="5" t="s">
        <v>129</v>
      </c>
      <c r="E1640" s="5" t="s">
        <v>91</v>
      </c>
      <c r="F1640" s="3" t="s">
        <v>3023</v>
      </c>
      <c r="G1640" s="3" t="str">
        <f>"00183944"</f>
        <v>00183944</v>
      </c>
    </row>
    <row r="1641" spans="1:7" x14ac:dyDescent="0.25">
      <c r="A1641" s="2">
        <v>1640</v>
      </c>
      <c r="B1641" s="3">
        <v>6199</v>
      </c>
      <c r="C1641" s="5" t="s">
        <v>171</v>
      </c>
      <c r="D1641" s="5" t="s">
        <v>27</v>
      </c>
      <c r="E1641" s="5" t="s">
        <v>252</v>
      </c>
      <c r="F1641" s="3" t="s">
        <v>3879</v>
      </c>
      <c r="G1641" s="3" t="str">
        <f>"00376417"</f>
        <v>00376417</v>
      </c>
    </row>
    <row r="1642" spans="1:7" x14ac:dyDescent="0.25">
      <c r="A1642" s="2">
        <v>1641</v>
      </c>
      <c r="B1642" s="3">
        <v>6977</v>
      </c>
      <c r="C1642" s="5" t="s">
        <v>171</v>
      </c>
      <c r="D1642" s="5" t="s">
        <v>27</v>
      </c>
      <c r="E1642" s="5" t="s">
        <v>63</v>
      </c>
      <c r="F1642" s="3" t="s">
        <v>1229</v>
      </c>
      <c r="G1642" s="3" t="str">
        <f>"00844932"</f>
        <v>00844932</v>
      </c>
    </row>
    <row r="1643" spans="1:7" x14ac:dyDescent="0.25">
      <c r="A1643" s="2">
        <v>1642</v>
      </c>
      <c r="B1643" s="3">
        <v>10399</v>
      </c>
      <c r="C1643" s="5" t="s">
        <v>171</v>
      </c>
      <c r="D1643" s="5" t="s">
        <v>2251</v>
      </c>
      <c r="E1643" s="5" t="s">
        <v>1785</v>
      </c>
      <c r="F1643" s="3" t="s">
        <v>3635</v>
      </c>
      <c r="G1643" s="3" t="str">
        <f>"00982010"</f>
        <v>00982010</v>
      </c>
    </row>
    <row r="1644" spans="1:7" x14ac:dyDescent="0.25">
      <c r="A1644" s="2">
        <v>1643</v>
      </c>
      <c r="B1644" s="3">
        <v>9390</v>
      </c>
      <c r="C1644" s="5" t="s">
        <v>171</v>
      </c>
      <c r="D1644" s="5" t="s">
        <v>5</v>
      </c>
      <c r="E1644" s="5" t="s">
        <v>87</v>
      </c>
      <c r="F1644" s="3" t="s">
        <v>1909</v>
      </c>
      <c r="G1644" s="3" t="str">
        <f>"00449330"</f>
        <v>00449330</v>
      </c>
    </row>
    <row r="1645" spans="1:7" x14ac:dyDescent="0.25">
      <c r="A1645" s="2">
        <v>1644</v>
      </c>
      <c r="B1645" s="3">
        <v>12792</v>
      </c>
      <c r="C1645" s="5" t="s">
        <v>171</v>
      </c>
      <c r="D1645" s="5" t="s">
        <v>858</v>
      </c>
      <c r="E1645" s="5" t="s">
        <v>11</v>
      </c>
      <c r="F1645" s="3" t="s">
        <v>1788</v>
      </c>
      <c r="G1645" s="3" t="str">
        <f>"00995762"</f>
        <v>00995762</v>
      </c>
    </row>
    <row r="1646" spans="1:7" x14ac:dyDescent="0.25">
      <c r="A1646" s="2">
        <v>1645</v>
      </c>
      <c r="B1646" s="3">
        <v>1914</v>
      </c>
      <c r="C1646" s="5" t="s">
        <v>781</v>
      </c>
      <c r="D1646" s="5" t="s">
        <v>1960</v>
      </c>
      <c r="E1646" s="5" t="s">
        <v>4879</v>
      </c>
      <c r="F1646" s="3" t="s">
        <v>3361</v>
      </c>
      <c r="G1646" s="3" t="str">
        <f>"01015710"</f>
        <v>01015710</v>
      </c>
    </row>
    <row r="1647" spans="1:7" x14ac:dyDescent="0.25">
      <c r="A1647" s="2">
        <v>1646</v>
      </c>
      <c r="B1647" s="3">
        <v>6043</v>
      </c>
      <c r="C1647" s="5" t="s">
        <v>781</v>
      </c>
      <c r="D1647" s="5" t="s">
        <v>416</v>
      </c>
      <c r="E1647" s="5" t="s">
        <v>667</v>
      </c>
      <c r="F1647" s="3" t="s">
        <v>1378</v>
      </c>
      <c r="G1647" s="3" t="str">
        <f>"00357628"</f>
        <v>00357628</v>
      </c>
    </row>
    <row r="1648" spans="1:7" x14ac:dyDescent="0.25">
      <c r="A1648" s="2">
        <v>1647</v>
      </c>
      <c r="B1648" s="3">
        <v>7502</v>
      </c>
      <c r="C1648" s="5" t="s">
        <v>781</v>
      </c>
      <c r="D1648" s="5" t="s">
        <v>24</v>
      </c>
      <c r="E1648" s="5" t="s">
        <v>1891</v>
      </c>
      <c r="F1648" s="3" t="s">
        <v>3778</v>
      </c>
      <c r="G1648" s="3" t="str">
        <f>"00638767"</f>
        <v>00638767</v>
      </c>
    </row>
    <row r="1649" spans="1:7" x14ac:dyDescent="0.25">
      <c r="A1649" s="2">
        <v>1648</v>
      </c>
      <c r="B1649" s="3">
        <v>4628</v>
      </c>
      <c r="C1649" s="5" t="s">
        <v>781</v>
      </c>
      <c r="D1649" s="5" t="s">
        <v>2061</v>
      </c>
      <c r="E1649" s="5" t="s">
        <v>4843</v>
      </c>
      <c r="F1649" s="3" t="s">
        <v>2062</v>
      </c>
      <c r="G1649" s="3" t="str">
        <f>"00952853"</f>
        <v>00952853</v>
      </c>
    </row>
    <row r="1650" spans="1:7" x14ac:dyDescent="0.25">
      <c r="A1650" s="2">
        <v>1649</v>
      </c>
      <c r="B1650" s="3">
        <v>12102</v>
      </c>
      <c r="C1650" s="5" t="s">
        <v>781</v>
      </c>
      <c r="D1650" s="5" t="s">
        <v>780</v>
      </c>
      <c r="E1650" s="5" t="s">
        <v>27</v>
      </c>
      <c r="F1650" s="3" t="s">
        <v>782</v>
      </c>
      <c r="G1650" s="3" t="str">
        <f>"00669424"</f>
        <v>00669424</v>
      </c>
    </row>
    <row r="1651" spans="1:7" x14ac:dyDescent="0.25">
      <c r="A1651" s="2">
        <v>1650</v>
      </c>
      <c r="B1651" s="3">
        <v>11618</v>
      </c>
      <c r="C1651" s="5" t="s">
        <v>781</v>
      </c>
      <c r="D1651" s="5" t="s">
        <v>126</v>
      </c>
      <c r="E1651" s="5" t="s">
        <v>129</v>
      </c>
      <c r="F1651" s="3" t="s">
        <v>3435</v>
      </c>
      <c r="G1651" s="3" t="str">
        <f>"00187364"</f>
        <v>00187364</v>
      </c>
    </row>
    <row r="1652" spans="1:7" x14ac:dyDescent="0.25">
      <c r="A1652" s="2">
        <v>1651</v>
      </c>
      <c r="B1652" s="3">
        <v>5998</v>
      </c>
      <c r="C1652" s="5" t="s">
        <v>781</v>
      </c>
      <c r="D1652" s="5" t="s">
        <v>187</v>
      </c>
      <c r="E1652" s="5" t="s">
        <v>4838</v>
      </c>
      <c r="F1652" s="3" t="s">
        <v>1924</v>
      </c>
      <c r="G1652" s="3" t="str">
        <f>"201506004375"</f>
        <v>201506004375</v>
      </c>
    </row>
    <row r="1653" spans="1:7" x14ac:dyDescent="0.25">
      <c r="A1653" s="2">
        <v>1652</v>
      </c>
      <c r="B1653" s="3">
        <v>1541</v>
      </c>
      <c r="C1653" s="5" t="s">
        <v>781</v>
      </c>
      <c r="D1653" s="5" t="s">
        <v>558</v>
      </c>
      <c r="E1653" s="5" t="s">
        <v>5</v>
      </c>
      <c r="F1653" s="3" t="s">
        <v>3599</v>
      </c>
      <c r="G1653" s="3" t="str">
        <f>"01016402"</f>
        <v>01016402</v>
      </c>
    </row>
    <row r="1654" spans="1:7" x14ac:dyDescent="0.25">
      <c r="A1654" s="2">
        <v>1653</v>
      </c>
      <c r="B1654" s="3">
        <v>1887</v>
      </c>
      <c r="C1654" s="5" t="s">
        <v>3328</v>
      </c>
      <c r="D1654" s="5" t="s">
        <v>3327</v>
      </c>
      <c r="E1654" s="5" t="s">
        <v>87</v>
      </c>
      <c r="F1654" s="3" t="s">
        <v>3329</v>
      </c>
      <c r="G1654" s="3" t="str">
        <f>"00432671"</f>
        <v>00432671</v>
      </c>
    </row>
    <row r="1655" spans="1:7" x14ac:dyDescent="0.25">
      <c r="A1655" s="2">
        <v>1654</v>
      </c>
      <c r="B1655" s="3">
        <v>6544</v>
      </c>
      <c r="C1655" s="5" t="s">
        <v>1524</v>
      </c>
      <c r="D1655" s="5" t="s">
        <v>773</v>
      </c>
      <c r="E1655" s="5" t="s">
        <v>4825</v>
      </c>
      <c r="F1655" s="3" t="s">
        <v>1525</v>
      </c>
      <c r="G1655" s="3" t="str">
        <f>"201512001180"</f>
        <v>201512001180</v>
      </c>
    </row>
    <row r="1656" spans="1:7" x14ac:dyDescent="0.25">
      <c r="A1656" s="2">
        <v>1655</v>
      </c>
      <c r="B1656" s="3">
        <v>5817</v>
      </c>
      <c r="C1656" s="5" t="s">
        <v>1524</v>
      </c>
      <c r="D1656" s="5" t="s">
        <v>44</v>
      </c>
      <c r="E1656" s="5" t="s">
        <v>52</v>
      </c>
      <c r="F1656" s="3" t="s">
        <v>2277</v>
      </c>
      <c r="G1656" s="3" t="str">
        <f>"00805512"</f>
        <v>00805512</v>
      </c>
    </row>
    <row r="1657" spans="1:7" x14ac:dyDescent="0.25">
      <c r="A1657" s="2">
        <v>1656</v>
      </c>
      <c r="B1657" s="3">
        <v>9782</v>
      </c>
      <c r="C1657" s="5" t="s">
        <v>1524</v>
      </c>
      <c r="D1657" s="5" t="s">
        <v>490</v>
      </c>
      <c r="E1657" s="5" t="s">
        <v>622</v>
      </c>
      <c r="F1657" s="3" t="s">
        <v>1735</v>
      </c>
      <c r="G1657" s="3" t="str">
        <f>"00987068"</f>
        <v>00987068</v>
      </c>
    </row>
    <row r="1658" spans="1:7" x14ac:dyDescent="0.25">
      <c r="A1658" s="2">
        <v>1657</v>
      </c>
      <c r="B1658" s="3">
        <v>95</v>
      </c>
      <c r="C1658" s="5" t="s">
        <v>4423</v>
      </c>
      <c r="D1658" s="5" t="s">
        <v>4422</v>
      </c>
      <c r="E1658" s="5" t="s">
        <v>14</v>
      </c>
      <c r="F1658" s="3" t="s">
        <v>4424</v>
      </c>
      <c r="G1658" s="3" t="str">
        <f>"00265945"</f>
        <v>00265945</v>
      </c>
    </row>
    <row r="1659" spans="1:7" x14ac:dyDescent="0.25">
      <c r="A1659" s="2">
        <v>1658</v>
      </c>
      <c r="B1659" s="3">
        <v>8087</v>
      </c>
      <c r="C1659" s="5" t="s">
        <v>3962</v>
      </c>
      <c r="D1659" s="5" t="s">
        <v>94</v>
      </c>
      <c r="E1659" s="5" t="s">
        <v>252</v>
      </c>
      <c r="F1659" s="3" t="s">
        <v>3963</v>
      </c>
      <c r="G1659" s="3" t="str">
        <f>"00981040"</f>
        <v>00981040</v>
      </c>
    </row>
    <row r="1660" spans="1:7" x14ac:dyDescent="0.25">
      <c r="A1660" s="2">
        <v>1659</v>
      </c>
      <c r="B1660" s="3">
        <v>5571</v>
      </c>
      <c r="C1660" s="5" t="s">
        <v>993</v>
      </c>
      <c r="D1660" s="5" t="s">
        <v>87</v>
      </c>
      <c r="E1660" s="5" t="s">
        <v>4809</v>
      </c>
      <c r="F1660" s="3" t="s">
        <v>994</v>
      </c>
      <c r="G1660" s="3" t="str">
        <f>"00972377"</f>
        <v>00972377</v>
      </c>
    </row>
    <row r="1661" spans="1:7" x14ac:dyDescent="0.25">
      <c r="A1661" s="2">
        <v>1660</v>
      </c>
      <c r="B1661" s="3">
        <v>11892</v>
      </c>
      <c r="C1661" s="5" t="s">
        <v>993</v>
      </c>
      <c r="D1661" s="5" t="s">
        <v>3379</v>
      </c>
      <c r="E1661" s="5" t="s">
        <v>94</v>
      </c>
      <c r="F1661" s="3" t="s">
        <v>3380</v>
      </c>
      <c r="G1661" s="3" t="str">
        <f>"00898682"</f>
        <v>00898682</v>
      </c>
    </row>
    <row r="1662" spans="1:7" x14ac:dyDescent="0.25">
      <c r="A1662" s="2">
        <v>1661</v>
      </c>
      <c r="B1662" s="3">
        <v>3376</v>
      </c>
      <c r="C1662" s="5" t="s">
        <v>993</v>
      </c>
      <c r="D1662" s="5" t="s">
        <v>184</v>
      </c>
      <c r="E1662" s="5" t="s">
        <v>284</v>
      </c>
      <c r="F1662" s="3" t="s">
        <v>2508</v>
      </c>
      <c r="G1662" s="3" t="str">
        <f>"00800712"</f>
        <v>00800712</v>
      </c>
    </row>
    <row r="1663" spans="1:7" x14ac:dyDescent="0.25">
      <c r="A1663" s="2">
        <v>1662</v>
      </c>
      <c r="B1663" s="3">
        <v>5663</v>
      </c>
      <c r="C1663" s="5" t="s">
        <v>3059</v>
      </c>
      <c r="D1663" s="5" t="s">
        <v>87</v>
      </c>
      <c r="E1663" s="5" t="s">
        <v>113</v>
      </c>
      <c r="F1663" s="3" t="s">
        <v>3060</v>
      </c>
      <c r="G1663" s="3" t="str">
        <f>"00433714"</f>
        <v>00433714</v>
      </c>
    </row>
    <row r="1664" spans="1:7" x14ac:dyDescent="0.25">
      <c r="A1664" s="2">
        <v>1663</v>
      </c>
      <c r="B1664" s="3">
        <v>1313</v>
      </c>
      <c r="C1664" s="5" t="s">
        <v>1126</v>
      </c>
      <c r="D1664" s="5" t="s">
        <v>11</v>
      </c>
      <c r="E1664" s="5" t="s">
        <v>14</v>
      </c>
      <c r="F1664" s="3" t="s">
        <v>1127</v>
      </c>
      <c r="G1664" s="3" t="str">
        <f>"201604003447"</f>
        <v>201604003447</v>
      </c>
    </row>
    <row r="1665" spans="1:7" x14ac:dyDescent="0.25">
      <c r="A1665" s="2">
        <v>1664</v>
      </c>
      <c r="B1665" s="3">
        <v>12215</v>
      </c>
      <c r="C1665" s="5" t="s">
        <v>594</v>
      </c>
      <c r="D1665" s="5" t="s">
        <v>214</v>
      </c>
      <c r="E1665" s="5" t="s">
        <v>14</v>
      </c>
      <c r="F1665" s="3" t="s">
        <v>595</v>
      </c>
      <c r="G1665" s="3" t="str">
        <f>"201507001811"</f>
        <v>201507001811</v>
      </c>
    </row>
    <row r="1666" spans="1:7" x14ac:dyDescent="0.25">
      <c r="A1666" s="2">
        <v>1665</v>
      </c>
      <c r="B1666" s="3">
        <v>9523</v>
      </c>
      <c r="C1666" s="5" t="s">
        <v>594</v>
      </c>
      <c r="D1666" s="5" t="s">
        <v>87</v>
      </c>
      <c r="E1666" s="5" t="s">
        <v>284</v>
      </c>
      <c r="F1666" s="3" t="s">
        <v>3573</v>
      </c>
      <c r="G1666" s="3" t="str">
        <f>"00791713"</f>
        <v>00791713</v>
      </c>
    </row>
    <row r="1667" spans="1:7" x14ac:dyDescent="0.25">
      <c r="A1667" s="2">
        <v>1666</v>
      </c>
      <c r="B1667" s="3">
        <v>6964</v>
      </c>
      <c r="C1667" s="5" t="s">
        <v>594</v>
      </c>
      <c r="D1667" s="5" t="s">
        <v>3623</v>
      </c>
      <c r="E1667" s="5" t="s">
        <v>632</v>
      </c>
      <c r="F1667" s="3" t="s">
        <v>3624</v>
      </c>
      <c r="G1667" s="3" t="str">
        <f>"00990425"</f>
        <v>00990425</v>
      </c>
    </row>
    <row r="1668" spans="1:7" x14ac:dyDescent="0.25">
      <c r="A1668" s="2">
        <v>1667</v>
      </c>
      <c r="B1668" s="3">
        <v>7270</v>
      </c>
      <c r="C1668" s="5" t="s">
        <v>594</v>
      </c>
      <c r="D1668" s="5" t="s">
        <v>52</v>
      </c>
      <c r="E1668" s="5" t="s">
        <v>14</v>
      </c>
      <c r="F1668" s="3" t="s">
        <v>1349</v>
      </c>
      <c r="G1668" s="3" t="str">
        <f>"00734255"</f>
        <v>00734255</v>
      </c>
    </row>
    <row r="1669" spans="1:7" x14ac:dyDescent="0.25">
      <c r="A1669" s="2">
        <v>1668</v>
      </c>
      <c r="B1669" s="3">
        <v>3983</v>
      </c>
      <c r="C1669" s="5" t="s">
        <v>594</v>
      </c>
      <c r="D1669" s="5" t="s">
        <v>44</v>
      </c>
      <c r="E1669" s="5" t="s">
        <v>94</v>
      </c>
      <c r="F1669" s="3" t="s">
        <v>4521</v>
      </c>
      <c r="G1669" s="3" t="str">
        <f>"00978836"</f>
        <v>00978836</v>
      </c>
    </row>
    <row r="1670" spans="1:7" x14ac:dyDescent="0.25">
      <c r="A1670" s="2">
        <v>1669</v>
      </c>
      <c r="B1670" s="3">
        <v>2627</v>
      </c>
      <c r="C1670" s="5" t="s">
        <v>594</v>
      </c>
      <c r="D1670" s="5" t="s">
        <v>107</v>
      </c>
      <c r="E1670" s="5" t="s">
        <v>609</v>
      </c>
      <c r="F1670" s="3" t="s">
        <v>1083</v>
      </c>
      <c r="G1670" s="3" t="str">
        <f>"00444709"</f>
        <v>00444709</v>
      </c>
    </row>
    <row r="1671" spans="1:7" x14ac:dyDescent="0.25">
      <c r="A1671" s="2">
        <v>1670</v>
      </c>
      <c r="B1671" s="3">
        <v>1884</v>
      </c>
      <c r="C1671" s="5" t="s">
        <v>594</v>
      </c>
      <c r="D1671" s="5" t="s">
        <v>4016</v>
      </c>
      <c r="E1671" s="5" t="s">
        <v>3042</v>
      </c>
      <c r="F1671" s="3" t="s">
        <v>4017</v>
      </c>
      <c r="G1671" s="3" t="str">
        <f>"00777571"</f>
        <v>00777571</v>
      </c>
    </row>
    <row r="1672" spans="1:7" x14ac:dyDescent="0.25">
      <c r="A1672" s="2">
        <v>1671</v>
      </c>
      <c r="B1672" s="3">
        <v>10550</v>
      </c>
      <c r="C1672" s="5" t="s">
        <v>594</v>
      </c>
      <c r="D1672" s="5" t="s">
        <v>11</v>
      </c>
      <c r="E1672" s="5" t="s">
        <v>87</v>
      </c>
      <c r="F1672" s="3" t="s">
        <v>1950</v>
      </c>
      <c r="G1672" s="3" t="str">
        <f>"201511017437"</f>
        <v>201511017437</v>
      </c>
    </row>
    <row r="1673" spans="1:7" x14ac:dyDescent="0.25">
      <c r="A1673" s="2">
        <v>1672</v>
      </c>
      <c r="B1673" s="3">
        <v>9406</v>
      </c>
      <c r="C1673" s="5" t="s">
        <v>4738</v>
      </c>
      <c r="D1673" s="5" t="s">
        <v>919</v>
      </c>
      <c r="E1673" s="5" t="s">
        <v>44</v>
      </c>
      <c r="F1673" s="3" t="s">
        <v>4739</v>
      </c>
      <c r="G1673" s="3" t="str">
        <f>"00928923"</f>
        <v>00928923</v>
      </c>
    </row>
    <row r="1674" spans="1:7" x14ac:dyDescent="0.25">
      <c r="A1674" s="2">
        <v>1673</v>
      </c>
      <c r="B1674" s="3">
        <v>7829</v>
      </c>
      <c r="C1674" s="5" t="s">
        <v>3343</v>
      </c>
      <c r="D1674" s="5" t="s">
        <v>44</v>
      </c>
      <c r="E1674" s="5" t="s">
        <v>284</v>
      </c>
      <c r="F1674" s="3" t="s">
        <v>3344</v>
      </c>
      <c r="G1674" s="3" t="str">
        <f>"00974376"</f>
        <v>00974376</v>
      </c>
    </row>
    <row r="1675" spans="1:7" x14ac:dyDescent="0.25">
      <c r="A1675" s="2">
        <v>1674</v>
      </c>
      <c r="B1675" s="3">
        <v>11521</v>
      </c>
      <c r="C1675" s="5" t="s">
        <v>2246</v>
      </c>
      <c r="D1675" s="5" t="s">
        <v>604</v>
      </c>
      <c r="E1675" s="5" t="s">
        <v>5</v>
      </c>
      <c r="F1675" s="3">
        <v>709545019</v>
      </c>
      <c r="G1675" s="3" t="str">
        <f>"00458407"</f>
        <v>00458407</v>
      </c>
    </row>
    <row r="1676" spans="1:7" x14ac:dyDescent="0.25">
      <c r="A1676" s="2">
        <v>1675</v>
      </c>
      <c r="B1676" s="3">
        <v>9088</v>
      </c>
      <c r="C1676" s="5" t="s">
        <v>2961</v>
      </c>
      <c r="D1676" s="5" t="s">
        <v>561</v>
      </c>
      <c r="E1676" s="5" t="s">
        <v>252</v>
      </c>
      <c r="F1676" s="3" t="s">
        <v>4005</v>
      </c>
      <c r="G1676" s="3" t="str">
        <f>"00985119"</f>
        <v>00985119</v>
      </c>
    </row>
    <row r="1677" spans="1:7" x14ac:dyDescent="0.25">
      <c r="A1677" s="2">
        <v>1676</v>
      </c>
      <c r="B1677" s="3">
        <v>10044</v>
      </c>
      <c r="C1677" s="5" t="s">
        <v>2961</v>
      </c>
      <c r="D1677" s="5" t="s">
        <v>2960</v>
      </c>
      <c r="E1677" s="5" t="s">
        <v>44</v>
      </c>
      <c r="F1677" s="3" t="s">
        <v>2962</v>
      </c>
      <c r="G1677" s="3" t="str">
        <f>"00986597"</f>
        <v>00986597</v>
      </c>
    </row>
    <row r="1678" spans="1:7" x14ac:dyDescent="0.25">
      <c r="A1678" s="2">
        <v>1677</v>
      </c>
      <c r="B1678" s="3">
        <v>6865</v>
      </c>
      <c r="C1678" s="5" t="s">
        <v>2961</v>
      </c>
      <c r="D1678" s="5" t="s">
        <v>258</v>
      </c>
      <c r="E1678" s="5" t="s">
        <v>4881</v>
      </c>
      <c r="F1678" s="3" t="s">
        <v>3474</v>
      </c>
      <c r="G1678" s="3" t="str">
        <f>"201511025138"</f>
        <v>201511025138</v>
      </c>
    </row>
    <row r="1679" spans="1:7" x14ac:dyDescent="0.25">
      <c r="A1679" s="2">
        <v>1678</v>
      </c>
      <c r="B1679" s="3">
        <v>11260</v>
      </c>
      <c r="C1679" s="5" t="s">
        <v>2264</v>
      </c>
      <c r="D1679" s="5" t="s">
        <v>32</v>
      </c>
      <c r="E1679" s="5" t="s">
        <v>532</v>
      </c>
      <c r="F1679" s="3" t="s">
        <v>2265</v>
      </c>
      <c r="G1679" s="3" t="str">
        <f>"01004803"</f>
        <v>01004803</v>
      </c>
    </row>
    <row r="1680" spans="1:7" x14ac:dyDescent="0.25">
      <c r="A1680" s="2">
        <v>1679</v>
      </c>
      <c r="B1680" s="3">
        <v>9389</v>
      </c>
      <c r="C1680" s="5" t="s">
        <v>4691</v>
      </c>
      <c r="D1680" s="5" t="s">
        <v>2613</v>
      </c>
      <c r="E1680" s="5" t="s">
        <v>129</v>
      </c>
      <c r="F1680" s="3" t="s">
        <v>4692</v>
      </c>
      <c r="G1680" s="3" t="str">
        <f>"00918386"</f>
        <v>00918386</v>
      </c>
    </row>
    <row r="1681" spans="1:7" x14ac:dyDescent="0.25">
      <c r="A1681" s="2">
        <v>1680</v>
      </c>
      <c r="B1681" s="3">
        <v>3040</v>
      </c>
      <c r="C1681" s="5" t="s">
        <v>1303</v>
      </c>
      <c r="D1681" s="5" t="s">
        <v>113</v>
      </c>
      <c r="E1681" s="5" t="s">
        <v>44</v>
      </c>
      <c r="F1681" s="3" t="s">
        <v>1304</v>
      </c>
      <c r="G1681" s="3" t="str">
        <f>"201604000598"</f>
        <v>201604000598</v>
      </c>
    </row>
    <row r="1682" spans="1:7" x14ac:dyDescent="0.25">
      <c r="A1682" s="2">
        <v>1681</v>
      </c>
      <c r="B1682" s="3">
        <v>6724</v>
      </c>
      <c r="C1682" s="5" t="s">
        <v>2094</v>
      </c>
      <c r="D1682" s="5" t="s">
        <v>773</v>
      </c>
      <c r="E1682" s="5" t="s">
        <v>44</v>
      </c>
      <c r="F1682" s="3" t="s">
        <v>2095</v>
      </c>
      <c r="G1682" s="3" t="str">
        <f>"00736511"</f>
        <v>00736511</v>
      </c>
    </row>
    <row r="1683" spans="1:7" x14ac:dyDescent="0.25">
      <c r="A1683" s="2">
        <v>1682</v>
      </c>
      <c r="B1683" s="3">
        <v>2302</v>
      </c>
      <c r="C1683" s="5" t="s">
        <v>2716</v>
      </c>
      <c r="D1683" s="5" t="s">
        <v>129</v>
      </c>
      <c r="E1683" s="5" t="s">
        <v>32</v>
      </c>
      <c r="F1683" s="3" t="s">
        <v>2717</v>
      </c>
      <c r="G1683" s="3" t="str">
        <f>"00776950"</f>
        <v>00776950</v>
      </c>
    </row>
    <row r="1684" spans="1:7" x14ac:dyDescent="0.25">
      <c r="A1684" s="2">
        <v>1683</v>
      </c>
      <c r="B1684" s="3">
        <v>11091</v>
      </c>
      <c r="C1684" s="5" t="s">
        <v>453</v>
      </c>
      <c r="D1684" s="5" t="s">
        <v>87</v>
      </c>
      <c r="E1684" s="5" t="s">
        <v>94</v>
      </c>
      <c r="F1684" s="3" t="s">
        <v>454</v>
      </c>
      <c r="G1684" s="3" t="str">
        <f>"00446537"</f>
        <v>00446537</v>
      </c>
    </row>
    <row r="1685" spans="1:7" x14ac:dyDescent="0.25">
      <c r="A1685" s="2">
        <v>1684</v>
      </c>
      <c r="B1685" s="3">
        <v>1342</v>
      </c>
      <c r="C1685" s="5" t="s">
        <v>2574</v>
      </c>
      <c r="D1685" s="5" t="s">
        <v>11</v>
      </c>
      <c r="E1685" s="5" t="s">
        <v>113</v>
      </c>
      <c r="F1685" s="3" t="s">
        <v>2575</v>
      </c>
      <c r="G1685" s="3" t="str">
        <f>"201412007408"</f>
        <v>201412007408</v>
      </c>
    </row>
    <row r="1686" spans="1:7" x14ac:dyDescent="0.25">
      <c r="A1686" s="2">
        <v>1685</v>
      </c>
      <c r="B1686" s="3">
        <v>803</v>
      </c>
      <c r="C1686" s="5" t="s">
        <v>2796</v>
      </c>
      <c r="D1686" s="5" t="s">
        <v>44</v>
      </c>
      <c r="E1686" s="5" t="s">
        <v>11</v>
      </c>
      <c r="F1686" s="3" t="s">
        <v>2797</v>
      </c>
      <c r="G1686" s="3" t="str">
        <f>"00985902"</f>
        <v>00985902</v>
      </c>
    </row>
    <row r="1687" spans="1:7" x14ac:dyDescent="0.25">
      <c r="A1687" s="2">
        <v>1686</v>
      </c>
      <c r="B1687" s="3">
        <v>12117</v>
      </c>
      <c r="C1687" s="5" t="s">
        <v>2796</v>
      </c>
      <c r="D1687" s="5" t="s">
        <v>187</v>
      </c>
      <c r="E1687" s="5" t="s">
        <v>11</v>
      </c>
      <c r="F1687" s="3" t="s">
        <v>4447</v>
      </c>
      <c r="G1687" s="3" t="str">
        <f>"00815228"</f>
        <v>00815228</v>
      </c>
    </row>
    <row r="1688" spans="1:7" x14ac:dyDescent="0.25">
      <c r="A1688" s="2">
        <v>1687</v>
      </c>
      <c r="B1688" s="3">
        <v>6689</v>
      </c>
      <c r="C1688" s="5" t="s">
        <v>1731</v>
      </c>
      <c r="D1688" s="5" t="s">
        <v>11</v>
      </c>
      <c r="E1688" s="5" t="s">
        <v>11</v>
      </c>
      <c r="F1688" s="3" t="s">
        <v>1732</v>
      </c>
      <c r="G1688" s="3" t="str">
        <f>"00290490"</f>
        <v>00290490</v>
      </c>
    </row>
    <row r="1689" spans="1:7" x14ac:dyDescent="0.25">
      <c r="A1689" s="2">
        <v>1688</v>
      </c>
      <c r="B1689" s="3">
        <v>7216</v>
      </c>
      <c r="C1689" s="5" t="s">
        <v>2611</v>
      </c>
      <c r="D1689" s="5" t="s">
        <v>14</v>
      </c>
      <c r="E1689" s="5" t="s">
        <v>44</v>
      </c>
      <c r="F1689" s="3" t="s">
        <v>2612</v>
      </c>
      <c r="G1689" s="3" t="str">
        <f>"00656963"</f>
        <v>00656963</v>
      </c>
    </row>
    <row r="1690" spans="1:7" x14ac:dyDescent="0.25">
      <c r="A1690" s="2">
        <v>1689</v>
      </c>
      <c r="B1690" s="3">
        <v>567</v>
      </c>
      <c r="C1690" s="5" t="s">
        <v>1932</v>
      </c>
      <c r="D1690" s="5" t="s">
        <v>1212</v>
      </c>
      <c r="E1690" s="5" t="s">
        <v>2406</v>
      </c>
      <c r="F1690" s="3" t="s">
        <v>1933</v>
      </c>
      <c r="G1690" s="3" t="str">
        <f>"00240492"</f>
        <v>00240492</v>
      </c>
    </row>
    <row r="1691" spans="1:7" x14ac:dyDescent="0.25">
      <c r="A1691" s="2">
        <v>1690</v>
      </c>
      <c r="B1691" s="3">
        <v>1667</v>
      </c>
      <c r="C1691" s="5" t="s">
        <v>3766</v>
      </c>
      <c r="D1691" s="5" t="s">
        <v>41</v>
      </c>
      <c r="E1691" s="5" t="s">
        <v>44</v>
      </c>
      <c r="F1691" s="3" t="s">
        <v>3767</v>
      </c>
      <c r="G1691" s="3" t="str">
        <f>"00992821"</f>
        <v>00992821</v>
      </c>
    </row>
    <row r="1692" spans="1:7" x14ac:dyDescent="0.25">
      <c r="A1692" s="2">
        <v>1691</v>
      </c>
      <c r="B1692" s="3">
        <v>2754</v>
      </c>
      <c r="C1692" s="5" t="s">
        <v>1827</v>
      </c>
      <c r="D1692" s="5" t="s">
        <v>107</v>
      </c>
      <c r="E1692" s="5" t="s">
        <v>87</v>
      </c>
      <c r="F1692" s="3">
        <v>2015225</v>
      </c>
      <c r="G1692" s="3" t="str">
        <f>"00985149"</f>
        <v>00985149</v>
      </c>
    </row>
    <row r="1693" spans="1:7" x14ac:dyDescent="0.25">
      <c r="A1693" s="2">
        <v>1692</v>
      </c>
      <c r="B1693" s="3">
        <v>5709</v>
      </c>
      <c r="C1693" s="5" t="s">
        <v>220</v>
      </c>
      <c r="D1693" s="5" t="s">
        <v>219</v>
      </c>
      <c r="E1693" s="5" t="s">
        <v>94</v>
      </c>
      <c r="F1693" s="3" t="s">
        <v>221</v>
      </c>
      <c r="G1693" s="3" t="str">
        <f>"01013108"</f>
        <v>01013108</v>
      </c>
    </row>
    <row r="1694" spans="1:7" x14ac:dyDescent="0.25">
      <c r="A1694" s="2">
        <v>1693</v>
      </c>
      <c r="B1694" s="3">
        <v>4227</v>
      </c>
      <c r="C1694" s="5" t="s">
        <v>3169</v>
      </c>
      <c r="D1694" s="5" t="s">
        <v>3168</v>
      </c>
      <c r="E1694" s="5" t="s">
        <v>63</v>
      </c>
      <c r="F1694" s="3" t="s">
        <v>3170</v>
      </c>
      <c r="G1694" s="3" t="str">
        <f>"00758287"</f>
        <v>00758287</v>
      </c>
    </row>
    <row r="1695" spans="1:7" x14ac:dyDescent="0.25">
      <c r="A1695" s="2">
        <v>1694</v>
      </c>
      <c r="B1695" s="3">
        <v>8343</v>
      </c>
      <c r="C1695" s="5" t="s">
        <v>386</v>
      </c>
      <c r="D1695" s="5" t="s">
        <v>385</v>
      </c>
      <c r="E1695" s="5" t="s">
        <v>184</v>
      </c>
      <c r="F1695" s="3" t="s">
        <v>387</v>
      </c>
      <c r="G1695" s="3" t="str">
        <f>"00495645"</f>
        <v>00495645</v>
      </c>
    </row>
    <row r="1696" spans="1:7" x14ac:dyDescent="0.25">
      <c r="A1696" s="2">
        <v>1695</v>
      </c>
      <c r="B1696" s="3">
        <v>641</v>
      </c>
      <c r="C1696" s="5" t="s">
        <v>4404</v>
      </c>
      <c r="D1696" s="5" t="s">
        <v>87</v>
      </c>
      <c r="E1696" s="5" t="s">
        <v>91</v>
      </c>
      <c r="F1696" s="3" t="s">
        <v>4405</v>
      </c>
      <c r="G1696" s="3" t="str">
        <f>"00541655"</f>
        <v>00541655</v>
      </c>
    </row>
    <row r="1697" spans="1:7" x14ac:dyDescent="0.25">
      <c r="A1697" s="2">
        <v>1696</v>
      </c>
      <c r="B1697" s="3">
        <v>7079</v>
      </c>
      <c r="C1697" s="5" t="s">
        <v>2469</v>
      </c>
      <c r="D1697" s="5" t="s">
        <v>2109</v>
      </c>
      <c r="E1697" s="5" t="s">
        <v>11</v>
      </c>
      <c r="F1697" s="3" t="s">
        <v>2470</v>
      </c>
      <c r="G1697" s="3" t="str">
        <f>"01017543"</f>
        <v>01017543</v>
      </c>
    </row>
    <row r="1698" spans="1:7" x14ac:dyDescent="0.25">
      <c r="A1698" s="2">
        <v>1697</v>
      </c>
      <c r="B1698" s="3">
        <v>1901</v>
      </c>
      <c r="C1698" s="5" t="s">
        <v>2741</v>
      </c>
      <c r="D1698" s="5" t="s">
        <v>162</v>
      </c>
      <c r="E1698" s="5" t="s">
        <v>375</v>
      </c>
      <c r="F1698" s="3" t="s">
        <v>2742</v>
      </c>
      <c r="G1698" s="3" t="str">
        <f>"00744940"</f>
        <v>00744940</v>
      </c>
    </row>
    <row r="1699" spans="1:7" x14ac:dyDescent="0.25">
      <c r="A1699" s="2">
        <v>1698</v>
      </c>
      <c r="B1699" s="3">
        <v>8234</v>
      </c>
      <c r="C1699" s="5" t="s">
        <v>590</v>
      </c>
      <c r="D1699" s="5" t="s">
        <v>366</v>
      </c>
      <c r="E1699" s="5" t="s">
        <v>11</v>
      </c>
      <c r="F1699" s="3" t="s">
        <v>591</v>
      </c>
      <c r="G1699" s="3" t="str">
        <f>"01012416"</f>
        <v>01012416</v>
      </c>
    </row>
    <row r="1700" spans="1:7" x14ac:dyDescent="0.25">
      <c r="A1700" s="2">
        <v>1699</v>
      </c>
      <c r="B1700" s="3">
        <v>4843</v>
      </c>
      <c r="C1700" s="5" t="s">
        <v>2124</v>
      </c>
      <c r="D1700" s="5" t="s">
        <v>2123</v>
      </c>
      <c r="E1700" s="5" t="s">
        <v>44</v>
      </c>
      <c r="F1700" s="3" t="s">
        <v>2125</v>
      </c>
      <c r="G1700" s="3" t="str">
        <f>"201604003332"</f>
        <v>201604003332</v>
      </c>
    </row>
    <row r="1701" spans="1:7" x14ac:dyDescent="0.25">
      <c r="A1701" s="2">
        <v>1700</v>
      </c>
      <c r="B1701" s="3">
        <v>9362</v>
      </c>
      <c r="C1701" s="5" t="s">
        <v>2754</v>
      </c>
      <c r="D1701" s="5" t="s">
        <v>5</v>
      </c>
      <c r="E1701" s="5" t="s">
        <v>11</v>
      </c>
      <c r="F1701" s="3" t="s">
        <v>2755</v>
      </c>
      <c r="G1701" s="3" t="str">
        <f>"00986305"</f>
        <v>00986305</v>
      </c>
    </row>
    <row r="1702" spans="1:7" x14ac:dyDescent="0.25">
      <c r="A1702" s="2">
        <v>1701</v>
      </c>
      <c r="B1702" s="3">
        <v>129</v>
      </c>
      <c r="C1702" s="5" t="s">
        <v>1274</v>
      </c>
      <c r="D1702" s="5" t="s">
        <v>1273</v>
      </c>
      <c r="E1702" s="5" t="s">
        <v>32</v>
      </c>
      <c r="F1702" s="3" t="s">
        <v>1275</v>
      </c>
      <c r="G1702" s="3" t="str">
        <f>"01008454"</f>
        <v>01008454</v>
      </c>
    </row>
    <row r="1703" spans="1:7" x14ac:dyDescent="0.25">
      <c r="A1703" s="2">
        <v>1702</v>
      </c>
      <c r="B1703" s="3">
        <v>11597</v>
      </c>
      <c r="C1703" s="5" t="s">
        <v>3408</v>
      </c>
      <c r="D1703" s="5" t="s">
        <v>3407</v>
      </c>
      <c r="E1703" s="5" t="s">
        <v>545</v>
      </c>
      <c r="F1703" s="3" t="s">
        <v>3409</v>
      </c>
      <c r="G1703" s="3" t="str">
        <f>"01011931"</f>
        <v>01011931</v>
      </c>
    </row>
    <row r="1704" spans="1:7" x14ac:dyDescent="0.25">
      <c r="A1704" s="2">
        <v>1703</v>
      </c>
      <c r="B1704" s="3">
        <v>8116</v>
      </c>
      <c r="C1704" s="5" t="s">
        <v>996</v>
      </c>
      <c r="D1704" s="5" t="s">
        <v>214</v>
      </c>
      <c r="E1704" s="5" t="s">
        <v>44</v>
      </c>
      <c r="F1704" s="3" t="s">
        <v>2859</v>
      </c>
      <c r="G1704" s="3" t="str">
        <f>"00447976"</f>
        <v>00447976</v>
      </c>
    </row>
    <row r="1705" spans="1:7" x14ac:dyDescent="0.25">
      <c r="A1705" s="2">
        <v>1704</v>
      </c>
      <c r="B1705" s="3">
        <v>6068</v>
      </c>
      <c r="C1705" s="5" t="s">
        <v>996</v>
      </c>
      <c r="D1705" s="5" t="s">
        <v>995</v>
      </c>
      <c r="E1705" s="5" t="s">
        <v>214</v>
      </c>
      <c r="F1705" s="3" t="s">
        <v>997</v>
      </c>
      <c r="G1705" s="3" t="str">
        <f>"00985972"</f>
        <v>00985972</v>
      </c>
    </row>
    <row r="1706" spans="1:7" x14ac:dyDescent="0.25">
      <c r="A1706" s="2">
        <v>1705</v>
      </c>
      <c r="B1706" s="3">
        <v>5196</v>
      </c>
      <c r="C1706" s="5" t="s">
        <v>4507</v>
      </c>
      <c r="D1706" s="5" t="s">
        <v>4506</v>
      </c>
      <c r="E1706" s="5" t="s">
        <v>129</v>
      </c>
      <c r="F1706" s="3" t="s">
        <v>4508</v>
      </c>
      <c r="G1706" s="3" t="str">
        <f>"01013372"</f>
        <v>01013372</v>
      </c>
    </row>
    <row r="1707" spans="1:7" x14ac:dyDescent="0.25">
      <c r="A1707" s="2">
        <v>1706</v>
      </c>
      <c r="B1707" s="3">
        <v>5551</v>
      </c>
      <c r="C1707" s="5" t="s">
        <v>1489</v>
      </c>
      <c r="D1707" s="5" t="s">
        <v>1488</v>
      </c>
      <c r="E1707" s="5" t="s">
        <v>52</v>
      </c>
      <c r="F1707" s="3">
        <v>709675017</v>
      </c>
      <c r="G1707" s="3" t="str">
        <f>"00312490"</f>
        <v>00312490</v>
      </c>
    </row>
    <row r="1708" spans="1:7" x14ac:dyDescent="0.25">
      <c r="A1708" s="2">
        <v>1707</v>
      </c>
      <c r="B1708" s="3">
        <v>1593</v>
      </c>
      <c r="C1708" s="5" t="s">
        <v>4541</v>
      </c>
      <c r="D1708" s="5" t="s">
        <v>129</v>
      </c>
      <c r="E1708" s="5" t="s">
        <v>4809</v>
      </c>
      <c r="F1708" s="3" t="s">
        <v>4542</v>
      </c>
      <c r="G1708" s="3" t="str">
        <f>"00970405"</f>
        <v>00970405</v>
      </c>
    </row>
    <row r="1709" spans="1:7" x14ac:dyDescent="0.25">
      <c r="A1709" s="2">
        <v>1708</v>
      </c>
      <c r="B1709" s="3">
        <v>205</v>
      </c>
      <c r="C1709" s="5" t="s">
        <v>3793</v>
      </c>
      <c r="D1709" s="5" t="s">
        <v>70</v>
      </c>
      <c r="E1709" s="5" t="s">
        <v>284</v>
      </c>
      <c r="F1709" s="3" t="s">
        <v>3794</v>
      </c>
      <c r="G1709" s="3" t="str">
        <f>"00692226"</f>
        <v>00692226</v>
      </c>
    </row>
    <row r="1710" spans="1:7" x14ac:dyDescent="0.25">
      <c r="A1710" s="2">
        <v>1709</v>
      </c>
      <c r="B1710" s="3">
        <v>10691</v>
      </c>
      <c r="C1710" s="5" t="s">
        <v>1832</v>
      </c>
      <c r="D1710" s="5" t="s">
        <v>107</v>
      </c>
      <c r="E1710" s="5" t="s">
        <v>52</v>
      </c>
      <c r="F1710" s="3" t="s">
        <v>1833</v>
      </c>
      <c r="G1710" s="3" t="str">
        <f>"00993188"</f>
        <v>00993188</v>
      </c>
    </row>
    <row r="1711" spans="1:7" x14ac:dyDescent="0.25">
      <c r="A1711" s="2">
        <v>1710</v>
      </c>
      <c r="B1711" s="3">
        <v>2047</v>
      </c>
      <c r="C1711" s="5" t="s">
        <v>2155</v>
      </c>
      <c r="D1711" s="5" t="s">
        <v>1212</v>
      </c>
      <c r="E1711" s="5" t="s">
        <v>35</v>
      </c>
      <c r="F1711" s="3" t="s">
        <v>2156</v>
      </c>
      <c r="G1711" s="3" t="str">
        <f>"00067655"</f>
        <v>00067655</v>
      </c>
    </row>
    <row r="1712" spans="1:7" x14ac:dyDescent="0.25">
      <c r="A1712" s="2">
        <v>1711</v>
      </c>
      <c r="B1712" s="3">
        <v>11119</v>
      </c>
      <c r="C1712" s="5" t="s">
        <v>808</v>
      </c>
      <c r="D1712" s="5" t="s">
        <v>52</v>
      </c>
      <c r="E1712" s="5" t="s">
        <v>214</v>
      </c>
      <c r="F1712" s="3" t="s">
        <v>809</v>
      </c>
      <c r="G1712" s="3" t="str">
        <f>"00982044"</f>
        <v>00982044</v>
      </c>
    </row>
    <row r="1713" spans="1:7" x14ac:dyDescent="0.25">
      <c r="A1713" s="2">
        <v>1712</v>
      </c>
      <c r="B1713" s="3">
        <v>11422</v>
      </c>
      <c r="C1713" s="5" t="s">
        <v>3882</v>
      </c>
      <c r="D1713" s="5" t="s">
        <v>1705</v>
      </c>
      <c r="E1713" s="5" t="s">
        <v>5</v>
      </c>
      <c r="F1713" s="3" t="s">
        <v>3883</v>
      </c>
      <c r="G1713" s="3" t="str">
        <f>"00354174"</f>
        <v>00354174</v>
      </c>
    </row>
    <row r="1714" spans="1:7" x14ac:dyDescent="0.25">
      <c r="A1714" s="2">
        <v>1713</v>
      </c>
      <c r="B1714" s="3">
        <v>8262</v>
      </c>
      <c r="C1714" s="5" t="s">
        <v>1299</v>
      </c>
      <c r="D1714" s="5" t="s">
        <v>4420</v>
      </c>
      <c r="E1714" s="5" t="s">
        <v>184</v>
      </c>
      <c r="F1714" s="3" t="s">
        <v>4421</v>
      </c>
      <c r="G1714" s="3" t="str">
        <f>"00801172"</f>
        <v>00801172</v>
      </c>
    </row>
    <row r="1715" spans="1:7" x14ac:dyDescent="0.25">
      <c r="A1715" s="2">
        <v>1714</v>
      </c>
      <c r="B1715" s="3">
        <v>2056</v>
      </c>
      <c r="C1715" s="5" t="s">
        <v>1299</v>
      </c>
      <c r="D1715" s="5" t="s">
        <v>1298</v>
      </c>
      <c r="E1715" s="5" t="s">
        <v>87</v>
      </c>
      <c r="F1715" s="3" t="s">
        <v>1300</v>
      </c>
      <c r="G1715" s="3" t="str">
        <f>"01016090"</f>
        <v>01016090</v>
      </c>
    </row>
    <row r="1716" spans="1:7" x14ac:dyDescent="0.25">
      <c r="A1716" s="2">
        <v>1715</v>
      </c>
      <c r="B1716" s="3">
        <v>2449</v>
      </c>
      <c r="C1716" s="5" t="s">
        <v>3156</v>
      </c>
      <c r="D1716" s="5" t="s">
        <v>588</v>
      </c>
      <c r="E1716" s="5" t="s">
        <v>91</v>
      </c>
      <c r="F1716" s="3" t="s">
        <v>4284</v>
      </c>
      <c r="G1716" s="3" t="str">
        <f>"01008331"</f>
        <v>01008331</v>
      </c>
    </row>
    <row r="1717" spans="1:7" x14ac:dyDescent="0.25">
      <c r="A1717" s="2">
        <v>1716</v>
      </c>
      <c r="B1717" s="3">
        <v>12678</v>
      </c>
      <c r="C1717" s="5" t="s">
        <v>3156</v>
      </c>
      <c r="D1717" s="5" t="s">
        <v>1694</v>
      </c>
      <c r="E1717" s="5" t="s">
        <v>87</v>
      </c>
      <c r="F1717" s="3" t="s">
        <v>3157</v>
      </c>
      <c r="G1717" s="3" t="str">
        <f>"00982497"</f>
        <v>00982497</v>
      </c>
    </row>
    <row r="1718" spans="1:7" x14ac:dyDescent="0.25">
      <c r="A1718" s="2">
        <v>1717</v>
      </c>
      <c r="B1718" s="3">
        <v>12371</v>
      </c>
      <c r="C1718" s="5" t="s">
        <v>596</v>
      </c>
      <c r="D1718" s="5" t="s">
        <v>366</v>
      </c>
      <c r="E1718" s="5" t="s">
        <v>129</v>
      </c>
      <c r="F1718" s="3" t="s">
        <v>597</v>
      </c>
      <c r="G1718" s="3" t="str">
        <f>"00452850"</f>
        <v>00452850</v>
      </c>
    </row>
    <row r="1719" spans="1:7" x14ac:dyDescent="0.25">
      <c r="A1719" s="2">
        <v>1718</v>
      </c>
      <c r="B1719" s="3">
        <v>1436</v>
      </c>
      <c r="C1719" s="5" t="s">
        <v>911</v>
      </c>
      <c r="D1719" s="5" t="s">
        <v>490</v>
      </c>
      <c r="E1719" s="5" t="s">
        <v>667</v>
      </c>
      <c r="F1719" s="3" t="s">
        <v>912</v>
      </c>
      <c r="G1719" s="3" t="str">
        <f>"00817489"</f>
        <v>00817489</v>
      </c>
    </row>
    <row r="1720" spans="1:7" x14ac:dyDescent="0.25">
      <c r="A1720" s="2">
        <v>1719</v>
      </c>
      <c r="B1720" s="3">
        <v>8242</v>
      </c>
      <c r="C1720" s="5" t="s">
        <v>2033</v>
      </c>
      <c r="D1720" s="5" t="s">
        <v>284</v>
      </c>
      <c r="E1720" s="5" t="s">
        <v>14</v>
      </c>
      <c r="F1720" s="3" t="s">
        <v>4716</v>
      </c>
      <c r="G1720" s="3" t="str">
        <f>"00818986"</f>
        <v>00818986</v>
      </c>
    </row>
    <row r="1721" spans="1:7" x14ac:dyDescent="0.25">
      <c r="A1721" s="2">
        <v>1720</v>
      </c>
      <c r="B1721" s="3">
        <v>2637</v>
      </c>
      <c r="C1721" s="5" t="s">
        <v>3671</v>
      </c>
      <c r="D1721" s="5" t="s">
        <v>52</v>
      </c>
      <c r="E1721" s="5" t="s">
        <v>113</v>
      </c>
      <c r="F1721" s="3" t="s">
        <v>3672</v>
      </c>
      <c r="G1721" s="3" t="str">
        <f>"00986946"</f>
        <v>00986946</v>
      </c>
    </row>
    <row r="1722" spans="1:7" x14ac:dyDescent="0.25">
      <c r="A1722" s="2">
        <v>1721</v>
      </c>
      <c r="B1722" s="3">
        <v>12411</v>
      </c>
      <c r="C1722" s="5" t="s">
        <v>1621</v>
      </c>
      <c r="D1722" s="5" t="s">
        <v>847</v>
      </c>
      <c r="E1722" s="5" t="s">
        <v>372</v>
      </c>
      <c r="F1722" s="3" t="s">
        <v>1622</v>
      </c>
      <c r="G1722" s="3" t="str">
        <f>"00171875"</f>
        <v>00171875</v>
      </c>
    </row>
    <row r="1723" spans="1:7" x14ac:dyDescent="0.25">
      <c r="A1723" s="2">
        <v>1722</v>
      </c>
      <c r="B1723" s="3">
        <v>10086</v>
      </c>
      <c r="C1723" s="5" t="s">
        <v>1621</v>
      </c>
      <c r="D1723" s="5" t="s">
        <v>11</v>
      </c>
      <c r="E1723" s="5" t="s">
        <v>372</v>
      </c>
      <c r="F1723" s="3">
        <v>15467</v>
      </c>
      <c r="G1723" s="3" t="str">
        <f>"00243513"</f>
        <v>00243513</v>
      </c>
    </row>
    <row r="1724" spans="1:7" x14ac:dyDescent="0.25">
      <c r="A1724" s="2">
        <v>1723</v>
      </c>
      <c r="B1724" s="3">
        <v>2843</v>
      </c>
      <c r="C1724" s="5" t="s">
        <v>4477</v>
      </c>
      <c r="D1724" s="5" t="s">
        <v>126</v>
      </c>
      <c r="E1724" s="5" t="s">
        <v>4912</v>
      </c>
      <c r="F1724" s="3">
        <v>711099</v>
      </c>
      <c r="G1724" s="3" t="str">
        <f>"00555132"</f>
        <v>00555132</v>
      </c>
    </row>
    <row r="1725" spans="1:7" x14ac:dyDescent="0.25">
      <c r="A1725" s="2">
        <v>1724</v>
      </c>
      <c r="B1725" s="3">
        <v>8528</v>
      </c>
      <c r="C1725" s="5" t="s">
        <v>589</v>
      </c>
      <c r="D1725" s="5" t="s">
        <v>588</v>
      </c>
      <c r="E1725" s="5" t="s">
        <v>667</v>
      </c>
      <c r="F1725" s="3">
        <v>291929017</v>
      </c>
      <c r="G1725" s="3" t="str">
        <f>"01016744"</f>
        <v>01016744</v>
      </c>
    </row>
    <row r="1726" spans="1:7" x14ac:dyDescent="0.25">
      <c r="A1726" s="2">
        <v>1725</v>
      </c>
      <c r="B1726" s="3">
        <v>3764</v>
      </c>
      <c r="C1726" s="5" t="s">
        <v>133</v>
      </c>
      <c r="D1726" s="5" t="s">
        <v>632</v>
      </c>
      <c r="E1726" s="5" t="s">
        <v>2020</v>
      </c>
      <c r="F1726" s="3" t="s">
        <v>3222</v>
      </c>
      <c r="G1726" s="3" t="str">
        <f>"01011842"</f>
        <v>01011842</v>
      </c>
    </row>
    <row r="1727" spans="1:7" x14ac:dyDescent="0.25">
      <c r="A1727" s="2">
        <v>1726</v>
      </c>
      <c r="B1727" s="3">
        <v>12151</v>
      </c>
      <c r="C1727" s="5" t="s">
        <v>133</v>
      </c>
      <c r="D1727" s="5" t="s">
        <v>132</v>
      </c>
      <c r="E1727" s="5" t="s">
        <v>284</v>
      </c>
      <c r="F1727" s="3" t="s">
        <v>134</v>
      </c>
      <c r="G1727" s="3" t="str">
        <f>"00482188"</f>
        <v>00482188</v>
      </c>
    </row>
    <row r="1728" spans="1:7" x14ac:dyDescent="0.25">
      <c r="A1728" s="2">
        <v>1727</v>
      </c>
      <c r="B1728" s="3">
        <v>623</v>
      </c>
      <c r="C1728" s="5" t="s">
        <v>3217</v>
      </c>
      <c r="D1728" s="5" t="s">
        <v>1432</v>
      </c>
      <c r="E1728" s="5" t="s">
        <v>87</v>
      </c>
      <c r="F1728" s="3" t="s">
        <v>3218</v>
      </c>
      <c r="G1728" s="3" t="str">
        <f>"00979314"</f>
        <v>00979314</v>
      </c>
    </row>
    <row r="1729" spans="1:7" x14ac:dyDescent="0.25">
      <c r="A1729" s="2">
        <v>1728</v>
      </c>
      <c r="B1729" s="3">
        <v>3802</v>
      </c>
      <c r="C1729" s="5" t="s">
        <v>1018</v>
      </c>
      <c r="D1729" s="5" t="s">
        <v>135</v>
      </c>
      <c r="E1729" s="5" t="s">
        <v>4812</v>
      </c>
      <c r="F1729" s="3" t="s">
        <v>1019</v>
      </c>
      <c r="G1729" s="3" t="str">
        <f>"00816065"</f>
        <v>00816065</v>
      </c>
    </row>
    <row r="1730" spans="1:7" x14ac:dyDescent="0.25">
      <c r="A1730" s="2">
        <v>1729</v>
      </c>
      <c r="B1730" s="3">
        <v>4953</v>
      </c>
      <c r="C1730" s="5" t="s">
        <v>750</v>
      </c>
      <c r="D1730" s="5" t="s">
        <v>749</v>
      </c>
      <c r="E1730" s="5" t="s">
        <v>844</v>
      </c>
      <c r="F1730" s="3" t="s">
        <v>751</v>
      </c>
      <c r="G1730" s="3" t="str">
        <f>"00434685"</f>
        <v>00434685</v>
      </c>
    </row>
    <row r="1731" spans="1:7" x14ac:dyDescent="0.25">
      <c r="A1731" s="2">
        <v>1730</v>
      </c>
      <c r="B1731" s="3">
        <v>3428</v>
      </c>
      <c r="C1731" s="5" t="s">
        <v>3954</v>
      </c>
      <c r="D1731" s="5" t="s">
        <v>123</v>
      </c>
      <c r="E1731" s="5" t="s">
        <v>87</v>
      </c>
      <c r="F1731" s="3" t="s">
        <v>3955</v>
      </c>
      <c r="G1731" s="3" t="str">
        <f>"00849586"</f>
        <v>00849586</v>
      </c>
    </row>
    <row r="1732" spans="1:7" x14ac:dyDescent="0.25">
      <c r="A1732" s="2">
        <v>1731</v>
      </c>
      <c r="B1732" s="3">
        <v>6364</v>
      </c>
      <c r="C1732" s="5" t="s">
        <v>2609</v>
      </c>
      <c r="D1732" s="5" t="s">
        <v>2608</v>
      </c>
      <c r="E1732" s="5" t="s">
        <v>5</v>
      </c>
      <c r="F1732" s="3" t="s">
        <v>2610</v>
      </c>
      <c r="G1732" s="3" t="str">
        <f>"00288311"</f>
        <v>00288311</v>
      </c>
    </row>
    <row r="1733" spans="1:7" x14ac:dyDescent="0.25">
      <c r="A1733" s="2">
        <v>1732</v>
      </c>
      <c r="B1733" s="3">
        <v>3439</v>
      </c>
      <c r="C1733" s="5" t="s">
        <v>3335</v>
      </c>
      <c r="D1733" s="5" t="s">
        <v>3334</v>
      </c>
      <c r="E1733" s="5" t="s">
        <v>129</v>
      </c>
      <c r="F1733" s="3" t="s">
        <v>3336</v>
      </c>
      <c r="G1733" s="3" t="str">
        <f>"01004175"</f>
        <v>01004175</v>
      </c>
    </row>
    <row r="1734" spans="1:7" x14ac:dyDescent="0.25">
      <c r="A1734" s="2">
        <v>1733</v>
      </c>
      <c r="B1734" s="3">
        <v>11239</v>
      </c>
      <c r="C1734" s="5" t="s">
        <v>4056</v>
      </c>
      <c r="D1734" s="5" t="s">
        <v>159</v>
      </c>
      <c r="E1734" s="5" t="s">
        <v>44</v>
      </c>
      <c r="F1734" s="3" t="s">
        <v>4057</v>
      </c>
      <c r="G1734" s="3" t="str">
        <f>"00705350"</f>
        <v>00705350</v>
      </c>
    </row>
    <row r="1735" spans="1:7" x14ac:dyDescent="0.25">
      <c r="A1735" s="2">
        <v>1734</v>
      </c>
      <c r="B1735" s="3">
        <v>12165</v>
      </c>
      <c r="C1735" s="5" t="s">
        <v>4782</v>
      </c>
      <c r="D1735" s="5" t="s">
        <v>4781</v>
      </c>
      <c r="E1735" s="5" t="s">
        <v>82</v>
      </c>
      <c r="F1735" s="3" t="s">
        <v>4783</v>
      </c>
      <c r="G1735" s="3" t="str">
        <f>"00817439"</f>
        <v>00817439</v>
      </c>
    </row>
    <row r="1736" spans="1:7" x14ac:dyDescent="0.25">
      <c r="A1736" s="2">
        <v>1735</v>
      </c>
      <c r="B1736" s="3">
        <v>1338</v>
      </c>
      <c r="C1736" s="5" t="s">
        <v>3163</v>
      </c>
      <c r="D1736" s="5" t="s">
        <v>2433</v>
      </c>
      <c r="E1736" s="5" t="s">
        <v>135</v>
      </c>
      <c r="F1736" s="3" t="s">
        <v>3164</v>
      </c>
      <c r="G1736" s="3" t="str">
        <f>"00824440"</f>
        <v>00824440</v>
      </c>
    </row>
    <row r="1737" spans="1:7" x14ac:dyDescent="0.25">
      <c r="A1737" s="2">
        <v>1736</v>
      </c>
      <c r="B1737" s="3">
        <v>7494</v>
      </c>
      <c r="C1737" s="5" t="s">
        <v>1005</v>
      </c>
      <c r="D1737" s="5" t="s">
        <v>87</v>
      </c>
      <c r="E1737" s="5" t="s">
        <v>11</v>
      </c>
      <c r="F1737" s="3" t="s">
        <v>1006</v>
      </c>
      <c r="G1737" s="3" t="str">
        <f>"00872829"</f>
        <v>00872829</v>
      </c>
    </row>
    <row r="1738" spans="1:7" x14ac:dyDescent="0.25">
      <c r="A1738" s="2">
        <v>1737</v>
      </c>
      <c r="B1738" s="3">
        <v>7606</v>
      </c>
      <c r="C1738" s="5" t="s">
        <v>3148</v>
      </c>
      <c r="D1738" s="5" t="s">
        <v>457</v>
      </c>
      <c r="E1738" s="5" t="s">
        <v>14</v>
      </c>
      <c r="F1738" s="3" t="s">
        <v>3149</v>
      </c>
      <c r="G1738" s="3" t="str">
        <f>"00985517"</f>
        <v>00985517</v>
      </c>
    </row>
    <row r="1739" spans="1:7" x14ac:dyDescent="0.25">
      <c r="A1739" s="2">
        <v>1738</v>
      </c>
      <c r="B1739" s="3">
        <v>8342</v>
      </c>
      <c r="C1739" s="5" t="s">
        <v>892</v>
      </c>
      <c r="D1739" s="5" t="s">
        <v>52</v>
      </c>
      <c r="E1739" s="5" t="s">
        <v>11</v>
      </c>
      <c r="F1739" s="3" t="s">
        <v>893</v>
      </c>
      <c r="G1739" s="3" t="str">
        <f>"00983362"</f>
        <v>00983362</v>
      </c>
    </row>
    <row r="1740" spans="1:7" x14ac:dyDescent="0.25">
      <c r="A1740" s="2">
        <v>1739</v>
      </c>
      <c r="B1740" s="3">
        <v>10668</v>
      </c>
      <c r="C1740" s="5" t="s">
        <v>74</v>
      </c>
      <c r="D1740" s="5" t="s">
        <v>73</v>
      </c>
      <c r="E1740" s="5" t="s">
        <v>11</v>
      </c>
      <c r="F1740" s="3" t="s">
        <v>75</v>
      </c>
      <c r="G1740" s="3" t="str">
        <f>"01016605"</f>
        <v>01016605</v>
      </c>
    </row>
    <row r="1741" spans="1:7" x14ac:dyDescent="0.25">
      <c r="A1741" s="2">
        <v>1740</v>
      </c>
      <c r="B1741" s="3">
        <v>10226</v>
      </c>
      <c r="C1741" s="5" t="s">
        <v>1978</v>
      </c>
      <c r="D1741" s="5" t="s">
        <v>1977</v>
      </c>
      <c r="E1741" s="5" t="s">
        <v>4840</v>
      </c>
      <c r="F1741" s="3" t="s">
        <v>1979</v>
      </c>
      <c r="G1741" s="3" t="str">
        <f>"01016127"</f>
        <v>01016127</v>
      </c>
    </row>
    <row r="1742" spans="1:7" x14ac:dyDescent="0.25">
      <c r="A1742" s="2">
        <v>1741</v>
      </c>
      <c r="B1742" s="3">
        <v>3280</v>
      </c>
      <c r="C1742" s="5" t="s">
        <v>2121</v>
      </c>
      <c r="D1742" s="5" t="s">
        <v>5</v>
      </c>
      <c r="E1742" s="5" t="s">
        <v>87</v>
      </c>
      <c r="F1742" s="3" t="s">
        <v>2122</v>
      </c>
      <c r="G1742" s="3" t="str">
        <f>"01013753"</f>
        <v>01013753</v>
      </c>
    </row>
    <row r="1743" spans="1:7" x14ac:dyDescent="0.25">
      <c r="A1743" s="2">
        <v>1742</v>
      </c>
      <c r="B1743" s="3">
        <v>10080</v>
      </c>
      <c r="C1743" s="5" t="s">
        <v>1651</v>
      </c>
      <c r="D1743" s="5" t="s">
        <v>11</v>
      </c>
      <c r="E1743" s="5" t="s">
        <v>32</v>
      </c>
      <c r="F1743" s="3" t="s">
        <v>1652</v>
      </c>
      <c r="G1743" s="3" t="str">
        <f>"00985163"</f>
        <v>00985163</v>
      </c>
    </row>
    <row r="1744" spans="1:7" x14ac:dyDescent="0.25">
      <c r="A1744" s="2">
        <v>1743</v>
      </c>
      <c r="B1744" s="3">
        <v>4438</v>
      </c>
      <c r="C1744" s="5" t="s">
        <v>516</v>
      </c>
      <c r="D1744" s="5" t="s">
        <v>32</v>
      </c>
      <c r="E1744" s="5" t="s">
        <v>35</v>
      </c>
      <c r="F1744" s="3">
        <v>2723646</v>
      </c>
      <c r="G1744" s="3" t="str">
        <f>"01013256"</f>
        <v>01013256</v>
      </c>
    </row>
    <row r="1745" spans="1:7" x14ac:dyDescent="0.25">
      <c r="A1745" s="2">
        <v>1744</v>
      </c>
      <c r="B1745" s="3">
        <v>8882</v>
      </c>
      <c r="C1745" s="5" t="s">
        <v>516</v>
      </c>
      <c r="D1745" s="5" t="s">
        <v>44</v>
      </c>
      <c r="E1745" s="5" t="s">
        <v>87</v>
      </c>
      <c r="F1745" s="3" t="s">
        <v>4216</v>
      </c>
      <c r="G1745" s="3" t="str">
        <f>"01015497"</f>
        <v>01015497</v>
      </c>
    </row>
    <row r="1746" spans="1:7" x14ac:dyDescent="0.25">
      <c r="A1746" s="2">
        <v>1745</v>
      </c>
      <c r="B1746" s="3">
        <v>1514</v>
      </c>
      <c r="C1746" s="5" t="s">
        <v>516</v>
      </c>
      <c r="D1746" s="5" t="s">
        <v>11</v>
      </c>
      <c r="E1746" s="5" t="s">
        <v>5</v>
      </c>
      <c r="F1746" s="3" t="s">
        <v>815</v>
      </c>
      <c r="G1746" s="3" t="str">
        <f>"00448803"</f>
        <v>00448803</v>
      </c>
    </row>
    <row r="1747" spans="1:7" x14ac:dyDescent="0.25">
      <c r="A1747" s="2">
        <v>1746</v>
      </c>
      <c r="B1747" s="3">
        <v>6398</v>
      </c>
      <c r="C1747" s="5" t="s">
        <v>3755</v>
      </c>
      <c r="D1747" s="5" t="s">
        <v>2306</v>
      </c>
      <c r="E1747" s="5" t="s">
        <v>2659</v>
      </c>
      <c r="F1747" s="3" t="s">
        <v>3756</v>
      </c>
      <c r="G1747" s="3" t="str">
        <f>"01014345"</f>
        <v>01014345</v>
      </c>
    </row>
    <row r="1748" spans="1:7" x14ac:dyDescent="0.25">
      <c r="A1748" s="2">
        <v>1747</v>
      </c>
      <c r="B1748" s="3">
        <v>9341</v>
      </c>
      <c r="C1748" s="5" t="s">
        <v>2690</v>
      </c>
      <c r="D1748" s="5" t="s">
        <v>2689</v>
      </c>
      <c r="E1748" s="5" t="s">
        <v>14</v>
      </c>
      <c r="F1748" s="3" t="s">
        <v>2691</v>
      </c>
      <c r="G1748" s="3" t="str">
        <f>"201511038030"</f>
        <v>201511038030</v>
      </c>
    </row>
    <row r="1749" spans="1:7" x14ac:dyDescent="0.25">
      <c r="A1749" s="2">
        <v>1748</v>
      </c>
      <c r="B1749" s="3">
        <v>6935</v>
      </c>
      <c r="C1749" s="5" t="s">
        <v>573</v>
      </c>
      <c r="D1749" s="5" t="s">
        <v>252</v>
      </c>
      <c r="E1749" s="5" t="s">
        <v>4807</v>
      </c>
      <c r="F1749" s="3" t="s">
        <v>3174</v>
      </c>
      <c r="G1749" s="3" t="str">
        <f>"00981697"</f>
        <v>00981697</v>
      </c>
    </row>
    <row r="1750" spans="1:7" x14ac:dyDescent="0.25">
      <c r="A1750" s="2">
        <v>1749</v>
      </c>
      <c r="B1750" s="3">
        <v>1666</v>
      </c>
      <c r="C1750" s="5" t="s">
        <v>573</v>
      </c>
      <c r="D1750" s="5" t="s">
        <v>27</v>
      </c>
      <c r="E1750" s="5" t="s">
        <v>129</v>
      </c>
      <c r="F1750" s="3" t="s">
        <v>574</v>
      </c>
      <c r="G1750" s="3" t="str">
        <f>"00377588"</f>
        <v>00377588</v>
      </c>
    </row>
    <row r="1751" spans="1:7" x14ac:dyDescent="0.25">
      <c r="A1751" s="2">
        <v>1750</v>
      </c>
      <c r="B1751" s="3">
        <v>11503</v>
      </c>
      <c r="C1751" s="5" t="s">
        <v>463</v>
      </c>
      <c r="D1751" s="5" t="s">
        <v>3688</v>
      </c>
      <c r="E1751" s="5" t="s">
        <v>52</v>
      </c>
      <c r="F1751" s="3" t="s">
        <v>3689</v>
      </c>
      <c r="G1751" s="3" t="str">
        <f>"00798977"</f>
        <v>00798977</v>
      </c>
    </row>
    <row r="1752" spans="1:7" x14ac:dyDescent="0.25">
      <c r="A1752" s="2">
        <v>1751</v>
      </c>
      <c r="B1752" s="3">
        <v>9792</v>
      </c>
      <c r="C1752" s="5" t="s">
        <v>463</v>
      </c>
      <c r="D1752" s="5" t="s">
        <v>457</v>
      </c>
      <c r="E1752" s="5" t="s">
        <v>1432</v>
      </c>
      <c r="F1752" s="3" t="s">
        <v>464</v>
      </c>
      <c r="G1752" s="3" t="str">
        <f>"00186585"</f>
        <v>00186585</v>
      </c>
    </row>
    <row r="1753" spans="1:7" x14ac:dyDescent="0.25">
      <c r="A1753" s="2">
        <v>1752</v>
      </c>
      <c r="B1753" s="3">
        <v>13021</v>
      </c>
      <c r="C1753" s="5" t="s">
        <v>2919</v>
      </c>
      <c r="D1753" s="5" t="s">
        <v>87</v>
      </c>
      <c r="E1753" s="5" t="s">
        <v>129</v>
      </c>
      <c r="F1753" s="3" t="s">
        <v>2920</v>
      </c>
      <c r="G1753" s="3" t="str">
        <f>"00982055"</f>
        <v>00982055</v>
      </c>
    </row>
    <row r="1754" spans="1:7" x14ac:dyDescent="0.25">
      <c r="A1754" s="2">
        <v>1753</v>
      </c>
      <c r="B1754" s="3">
        <v>7192</v>
      </c>
      <c r="C1754" s="5" t="s">
        <v>3490</v>
      </c>
      <c r="D1754" s="5" t="s">
        <v>87</v>
      </c>
      <c r="E1754" s="5" t="s">
        <v>32</v>
      </c>
      <c r="F1754" s="3" t="s">
        <v>3491</v>
      </c>
      <c r="G1754" s="3" t="str">
        <f>"00985184"</f>
        <v>00985184</v>
      </c>
    </row>
    <row r="1755" spans="1:7" x14ac:dyDescent="0.25">
      <c r="A1755" s="2">
        <v>1754</v>
      </c>
      <c r="B1755" s="3">
        <v>6676</v>
      </c>
      <c r="C1755" s="5" t="s">
        <v>1947</v>
      </c>
      <c r="D1755" s="5" t="s">
        <v>416</v>
      </c>
      <c r="E1755" s="5" t="s">
        <v>27</v>
      </c>
      <c r="F1755" s="3" t="s">
        <v>1948</v>
      </c>
      <c r="G1755" s="3" t="str">
        <f>"00474350"</f>
        <v>00474350</v>
      </c>
    </row>
    <row r="1756" spans="1:7" x14ac:dyDescent="0.25">
      <c r="A1756" s="2">
        <v>1755</v>
      </c>
      <c r="B1756" s="3">
        <v>335</v>
      </c>
      <c r="C1756" s="5" t="s">
        <v>4302</v>
      </c>
      <c r="D1756" s="5" t="s">
        <v>4301</v>
      </c>
      <c r="E1756" s="5" t="s">
        <v>87</v>
      </c>
      <c r="F1756" s="3" t="s">
        <v>4303</v>
      </c>
      <c r="G1756" s="3" t="str">
        <f>"00102766"</f>
        <v>00102766</v>
      </c>
    </row>
    <row r="1757" spans="1:7" x14ac:dyDescent="0.25">
      <c r="A1757" s="2">
        <v>1756</v>
      </c>
      <c r="B1757" s="3">
        <v>11701</v>
      </c>
      <c r="C1757" s="5" t="s">
        <v>4659</v>
      </c>
      <c r="D1757" s="5" t="s">
        <v>382</v>
      </c>
      <c r="E1757" s="5" t="s">
        <v>87</v>
      </c>
      <c r="F1757" s="3" t="s">
        <v>4660</v>
      </c>
      <c r="G1757" s="3" t="str">
        <f>"00697304"</f>
        <v>00697304</v>
      </c>
    </row>
    <row r="1758" spans="1:7" x14ac:dyDescent="0.25">
      <c r="A1758" s="2">
        <v>1757</v>
      </c>
      <c r="B1758" s="3">
        <v>6657</v>
      </c>
      <c r="C1758" s="5" t="s">
        <v>4074</v>
      </c>
      <c r="D1758" s="5" t="s">
        <v>355</v>
      </c>
      <c r="E1758" s="5" t="s">
        <v>14</v>
      </c>
      <c r="F1758" s="3" t="s">
        <v>4075</v>
      </c>
      <c r="G1758" s="3" t="str">
        <f>"00962369"</f>
        <v>00962369</v>
      </c>
    </row>
    <row r="1759" spans="1:7" x14ac:dyDescent="0.25">
      <c r="A1759" s="2">
        <v>1758</v>
      </c>
      <c r="B1759" s="3">
        <v>7754</v>
      </c>
      <c r="C1759" s="5" t="s">
        <v>1243</v>
      </c>
      <c r="D1759" s="5" t="s">
        <v>129</v>
      </c>
      <c r="E1759" s="5" t="s">
        <v>113</v>
      </c>
      <c r="F1759" s="3" t="s">
        <v>1244</v>
      </c>
      <c r="G1759" s="3" t="str">
        <f>"00812304"</f>
        <v>00812304</v>
      </c>
    </row>
    <row r="1760" spans="1:7" x14ac:dyDescent="0.25">
      <c r="A1760" s="2">
        <v>1759</v>
      </c>
      <c r="B1760" s="3">
        <v>4205</v>
      </c>
      <c r="C1760" s="5" t="s">
        <v>2275</v>
      </c>
      <c r="D1760" s="5" t="s">
        <v>162</v>
      </c>
      <c r="E1760" s="5" t="s">
        <v>1336</v>
      </c>
      <c r="F1760" s="3" t="s">
        <v>2276</v>
      </c>
      <c r="G1760" s="3" t="str">
        <f>"00201855"</f>
        <v>00201855</v>
      </c>
    </row>
    <row r="1761" spans="1:7" x14ac:dyDescent="0.25">
      <c r="A1761" s="2">
        <v>1760</v>
      </c>
      <c r="B1761" s="3">
        <v>3667</v>
      </c>
      <c r="C1761" s="5" t="s">
        <v>1830</v>
      </c>
      <c r="D1761" s="5" t="s">
        <v>619</v>
      </c>
      <c r="E1761" s="5" t="s">
        <v>986</v>
      </c>
      <c r="F1761" s="3" t="s">
        <v>1831</v>
      </c>
      <c r="G1761" s="3" t="str">
        <f>"00331559"</f>
        <v>00331559</v>
      </c>
    </row>
    <row r="1762" spans="1:7" x14ac:dyDescent="0.25">
      <c r="A1762" s="2">
        <v>1761</v>
      </c>
      <c r="B1762" s="3">
        <v>5290</v>
      </c>
      <c r="C1762" s="5" t="s">
        <v>3557</v>
      </c>
      <c r="D1762" s="5" t="s">
        <v>82</v>
      </c>
      <c r="E1762" s="5" t="s">
        <v>4885</v>
      </c>
      <c r="F1762" s="3" t="s">
        <v>3558</v>
      </c>
      <c r="G1762" s="3" t="str">
        <f>"00829274"</f>
        <v>00829274</v>
      </c>
    </row>
    <row r="1763" spans="1:7" x14ac:dyDescent="0.25">
      <c r="A1763" s="2">
        <v>1762</v>
      </c>
      <c r="B1763" s="3">
        <v>11097</v>
      </c>
      <c r="C1763" s="5" t="s">
        <v>959</v>
      </c>
      <c r="D1763" s="5" t="s">
        <v>252</v>
      </c>
      <c r="E1763" s="5" t="s">
        <v>14</v>
      </c>
      <c r="F1763" s="3">
        <v>711128</v>
      </c>
      <c r="G1763" s="3" t="str">
        <f>"00982350"</f>
        <v>00982350</v>
      </c>
    </row>
    <row r="1764" spans="1:7" x14ac:dyDescent="0.25">
      <c r="A1764" s="2">
        <v>1763</v>
      </c>
      <c r="B1764" s="3">
        <v>12303</v>
      </c>
      <c r="C1764" s="5" t="s">
        <v>1662</v>
      </c>
      <c r="D1764" s="5" t="s">
        <v>126</v>
      </c>
      <c r="E1764" s="5" t="s">
        <v>5</v>
      </c>
      <c r="F1764" s="3" t="s">
        <v>1663</v>
      </c>
      <c r="G1764" s="3" t="str">
        <f>"00477901"</f>
        <v>00477901</v>
      </c>
    </row>
    <row r="1765" spans="1:7" x14ac:dyDescent="0.25">
      <c r="A1765" s="2">
        <v>1764</v>
      </c>
      <c r="B1765" s="3">
        <v>992</v>
      </c>
      <c r="C1765" s="5" t="s">
        <v>2115</v>
      </c>
      <c r="D1765" s="5" t="s">
        <v>32</v>
      </c>
      <c r="E1765" s="5" t="s">
        <v>87</v>
      </c>
      <c r="F1765" s="3" t="s">
        <v>2116</v>
      </c>
      <c r="G1765" s="3" t="str">
        <f>"00199597"</f>
        <v>00199597</v>
      </c>
    </row>
    <row r="1766" spans="1:7" x14ac:dyDescent="0.25">
      <c r="A1766" s="2">
        <v>1765</v>
      </c>
      <c r="B1766" s="3">
        <v>966</v>
      </c>
      <c r="C1766" s="5" t="s">
        <v>1956</v>
      </c>
      <c r="D1766" s="5" t="s">
        <v>198</v>
      </c>
      <c r="E1766" s="5" t="s">
        <v>32</v>
      </c>
      <c r="F1766" s="3" t="s">
        <v>1957</v>
      </c>
      <c r="G1766" s="3" t="str">
        <f>"00970622"</f>
        <v>00970622</v>
      </c>
    </row>
    <row r="1767" spans="1:7" x14ac:dyDescent="0.25">
      <c r="A1767" s="2">
        <v>1766</v>
      </c>
      <c r="B1767" s="3">
        <v>5824</v>
      </c>
      <c r="C1767" s="5" t="s">
        <v>4285</v>
      </c>
      <c r="D1767" s="5" t="s">
        <v>44</v>
      </c>
      <c r="E1767" s="5" t="s">
        <v>252</v>
      </c>
      <c r="F1767" s="3" t="s">
        <v>4286</v>
      </c>
      <c r="G1767" s="3" t="str">
        <f>"01011966"</f>
        <v>01011966</v>
      </c>
    </row>
    <row r="1768" spans="1:7" x14ac:dyDescent="0.25">
      <c r="A1768" s="2">
        <v>1767</v>
      </c>
      <c r="B1768" s="3">
        <v>6058</v>
      </c>
      <c r="C1768" s="5" t="s">
        <v>2446</v>
      </c>
      <c r="D1768" s="5" t="s">
        <v>5</v>
      </c>
      <c r="E1768" s="5" t="s">
        <v>87</v>
      </c>
      <c r="F1768" s="3" t="s">
        <v>2447</v>
      </c>
      <c r="G1768" s="3" t="str">
        <f>"00596789"</f>
        <v>00596789</v>
      </c>
    </row>
    <row r="1769" spans="1:7" x14ac:dyDescent="0.25">
      <c r="A1769" s="2">
        <v>1768</v>
      </c>
      <c r="B1769" s="3">
        <v>2282</v>
      </c>
      <c r="C1769" s="5" t="s">
        <v>4451</v>
      </c>
      <c r="D1769" s="5" t="s">
        <v>644</v>
      </c>
      <c r="E1769" s="5" t="s">
        <v>2033</v>
      </c>
      <c r="F1769" s="3" t="s">
        <v>4452</v>
      </c>
      <c r="G1769" s="3" t="str">
        <f>"01009967"</f>
        <v>01009967</v>
      </c>
    </row>
    <row r="1770" spans="1:7" x14ac:dyDescent="0.25">
      <c r="A1770" s="2">
        <v>1769</v>
      </c>
      <c r="B1770" s="3">
        <v>10212</v>
      </c>
      <c r="C1770" s="5" t="s">
        <v>3309</v>
      </c>
      <c r="D1770" s="5" t="s">
        <v>667</v>
      </c>
      <c r="E1770" s="5" t="s">
        <v>5</v>
      </c>
      <c r="F1770" s="3" t="s">
        <v>3310</v>
      </c>
      <c r="G1770" s="3" t="str">
        <f>"00443888"</f>
        <v>00443888</v>
      </c>
    </row>
    <row r="1771" spans="1:7" x14ac:dyDescent="0.25">
      <c r="A1771" s="2">
        <v>1770</v>
      </c>
      <c r="B1771" s="3">
        <v>244</v>
      </c>
      <c r="C1771" s="5" t="s">
        <v>3241</v>
      </c>
      <c r="D1771" s="5" t="s">
        <v>358</v>
      </c>
      <c r="E1771" s="5" t="s">
        <v>4564</v>
      </c>
      <c r="F1771" s="3" t="s">
        <v>3242</v>
      </c>
      <c r="G1771" s="3" t="str">
        <f>"01004070"</f>
        <v>01004070</v>
      </c>
    </row>
    <row r="1772" spans="1:7" x14ac:dyDescent="0.25">
      <c r="A1772" s="2">
        <v>1771</v>
      </c>
      <c r="B1772" s="3">
        <v>9912</v>
      </c>
      <c r="C1772" s="5" t="s">
        <v>50</v>
      </c>
      <c r="D1772" s="5" t="s">
        <v>49</v>
      </c>
      <c r="E1772" s="5" t="s">
        <v>4564</v>
      </c>
      <c r="F1772" s="3" t="s">
        <v>51</v>
      </c>
      <c r="G1772" s="3" t="str">
        <f>"00439151"</f>
        <v>00439151</v>
      </c>
    </row>
    <row r="1773" spans="1:7" x14ac:dyDescent="0.25">
      <c r="A1773" s="2">
        <v>1772</v>
      </c>
      <c r="B1773" s="3">
        <v>12173</v>
      </c>
      <c r="C1773" s="5" t="s">
        <v>3131</v>
      </c>
      <c r="D1773" s="5" t="s">
        <v>635</v>
      </c>
      <c r="E1773" s="5" t="s">
        <v>129</v>
      </c>
      <c r="F1773" s="3">
        <v>2719873</v>
      </c>
      <c r="G1773" s="3" t="str">
        <f>"00981644"</f>
        <v>00981644</v>
      </c>
    </row>
    <row r="1774" spans="1:7" x14ac:dyDescent="0.25">
      <c r="A1774" s="2">
        <v>1773</v>
      </c>
      <c r="B1774" s="3">
        <v>109</v>
      </c>
      <c r="C1774" s="5" t="s">
        <v>2526</v>
      </c>
      <c r="D1774" s="5" t="s">
        <v>32</v>
      </c>
      <c r="E1774" s="5" t="s">
        <v>82</v>
      </c>
      <c r="F1774" s="3" t="s">
        <v>2527</v>
      </c>
      <c r="G1774" s="3" t="str">
        <f>"00144358"</f>
        <v>00144358</v>
      </c>
    </row>
    <row r="1775" spans="1:7" x14ac:dyDescent="0.25">
      <c r="A1775" s="2">
        <v>1774</v>
      </c>
      <c r="B1775" s="3">
        <v>9976</v>
      </c>
      <c r="C1775" s="5" t="s">
        <v>2431</v>
      </c>
      <c r="D1775" s="5" t="s">
        <v>258</v>
      </c>
      <c r="E1775" s="5" t="s">
        <v>4854</v>
      </c>
      <c r="F1775" s="3" t="s">
        <v>2432</v>
      </c>
      <c r="G1775" s="3" t="str">
        <f>"00515218"</f>
        <v>00515218</v>
      </c>
    </row>
    <row r="1776" spans="1:7" x14ac:dyDescent="0.25">
      <c r="A1776" s="2">
        <v>1775</v>
      </c>
      <c r="B1776" s="3">
        <v>10057</v>
      </c>
      <c r="C1776" s="5" t="s">
        <v>3021</v>
      </c>
      <c r="D1776" s="5" t="s">
        <v>11</v>
      </c>
      <c r="E1776" s="5" t="s">
        <v>52</v>
      </c>
      <c r="F1776" s="3" t="s">
        <v>3022</v>
      </c>
      <c r="G1776" s="3" t="str">
        <f>"00888662"</f>
        <v>00888662</v>
      </c>
    </row>
    <row r="1777" spans="1:7" x14ac:dyDescent="0.25">
      <c r="A1777" s="2">
        <v>1776</v>
      </c>
      <c r="B1777" s="3">
        <v>3779</v>
      </c>
      <c r="C1777" s="5" t="s">
        <v>2951</v>
      </c>
      <c r="D1777" s="5" t="s">
        <v>27</v>
      </c>
      <c r="E1777" s="5" t="s">
        <v>4868</v>
      </c>
      <c r="F1777" s="3" t="s">
        <v>2952</v>
      </c>
      <c r="G1777" s="3" t="str">
        <f>"00266441"</f>
        <v>00266441</v>
      </c>
    </row>
    <row r="1778" spans="1:7" x14ac:dyDescent="0.25">
      <c r="A1778" s="2">
        <v>1777</v>
      </c>
      <c r="B1778" s="3">
        <v>9179</v>
      </c>
      <c r="C1778" s="5" t="s">
        <v>2546</v>
      </c>
      <c r="D1778" s="5" t="s">
        <v>416</v>
      </c>
      <c r="E1778" s="5" t="s">
        <v>82</v>
      </c>
      <c r="F1778" s="3" t="s">
        <v>2547</v>
      </c>
      <c r="G1778" s="3" t="str">
        <f>"01015494"</f>
        <v>01015494</v>
      </c>
    </row>
    <row r="1779" spans="1:7" x14ac:dyDescent="0.25">
      <c r="A1779" s="2">
        <v>1778</v>
      </c>
      <c r="B1779" s="3">
        <v>1158</v>
      </c>
      <c r="C1779" s="5" t="s">
        <v>2546</v>
      </c>
      <c r="D1779" s="5" t="s">
        <v>3014</v>
      </c>
      <c r="E1779" s="5" t="s">
        <v>4839</v>
      </c>
      <c r="F1779" s="3" t="s">
        <v>3015</v>
      </c>
      <c r="G1779" s="3" t="str">
        <f>"00765697"</f>
        <v>00765697</v>
      </c>
    </row>
    <row r="1780" spans="1:7" x14ac:dyDescent="0.25">
      <c r="A1780" s="2">
        <v>1779</v>
      </c>
      <c r="B1780" s="3">
        <v>547</v>
      </c>
      <c r="C1780" s="5" t="s">
        <v>2311</v>
      </c>
      <c r="D1780" s="5" t="s">
        <v>38</v>
      </c>
      <c r="E1780" s="5" t="s">
        <v>635</v>
      </c>
      <c r="F1780" s="3">
        <v>2013620</v>
      </c>
      <c r="G1780" s="3" t="str">
        <f>"01014671"</f>
        <v>01014671</v>
      </c>
    </row>
    <row r="1781" spans="1:7" x14ac:dyDescent="0.25">
      <c r="A1781" s="2">
        <v>1780</v>
      </c>
      <c r="B1781" s="3">
        <v>5874</v>
      </c>
      <c r="C1781" s="5" t="s">
        <v>1845</v>
      </c>
      <c r="D1781" s="5" t="s">
        <v>865</v>
      </c>
      <c r="E1781" s="5" t="s">
        <v>94</v>
      </c>
      <c r="F1781" s="3" t="s">
        <v>1846</v>
      </c>
      <c r="G1781" s="3" t="str">
        <f>"00024041"</f>
        <v>00024041</v>
      </c>
    </row>
    <row r="1782" spans="1:7" x14ac:dyDescent="0.25">
      <c r="A1782" s="2">
        <v>1781</v>
      </c>
      <c r="B1782" s="3">
        <v>3899</v>
      </c>
      <c r="C1782" s="5" t="s">
        <v>3570</v>
      </c>
      <c r="D1782" s="5" t="s">
        <v>1960</v>
      </c>
      <c r="E1782" s="5" t="s">
        <v>91</v>
      </c>
      <c r="F1782" s="3">
        <v>1923</v>
      </c>
      <c r="G1782" s="3" t="str">
        <f>"00258018"</f>
        <v>00258018</v>
      </c>
    </row>
    <row r="1783" spans="1:7" x14ac:dyDescent="0.25">
      <c r="A1783" s="2">
        <v>1782</v>
      </c>
      <c r="B1783" s="3">
        <v>11406</v>
      </c>
      <c r="C1783" s="5" t="s">
        <v>2590</v>
      </c>
      <c r="D1783" s="5" t="s">
        <v>1298</v>
      </c>
      <c r="E1783" s="5" t="s">
        <v>14</v>
      </c>
      <c r="F1783" s="3" t="s">
        <v>2591</v>
      </c>
      <c r="G1783" s="3" t="str">
        <f>"00928807"</f>
        <v>00928807</v>
      </c>
    </row>
    <row r="1784" spans="1:7" x14ac:dyDescent="0.25">
      <c r="A1784" s="2">
        <v>1783</v>
      </c>
      <c r="B1784" s="3">
        <v>4588</v>
      </c>
      <c r="C1784" s="5" t="s">
        <v>2719</v>
      </c>
      <c r="D1784" s="5" t="s">
        <v>705</v>
      </c>
      <c r="E1784" s="5" t="s">
        <v>14</v>
      </c>
      <c r="F1784" s="3" t="s">
        <v>2720</v>
      </c>
      <c r="G1784" s="3" t="str">
        <f>"00586347"</f>
        <v>00586347</v>
      </c>
    </row>
    <row r="1785" spans="1:7" x14ac:dyDescent="0.25">
      <c r="A1785" s="2">
        <v>1784</v>
      </c>
      <c r="B1785" s="3">
        <v>6534</v>
      </c>
      <c r="C1785" s="5" t="s">
        <v>2381</v>
      </c>
      <c r="D1785" s="5" t="s">
        <v>24</v>
      </c>
      <c r="E1785" s="5" t="s">
        <v>44</v>
      </c>
      <c r="F1785" s="3" t="s">
        <v>2382</v>
      </c>
      <c r="G1785" s="3" t="str">
        <f>"00712880"</f>
        <v>00712880</v>
      </c>
    </row>
    <row r="1786" spans="1:7" x14ac:dyDescent="0.25">
      <c r="A1786" s="2">
        <v>1785</v>
      </c>
      <c r="B1786" s="3">
        <v>10397</v>
      </c>
      <c r="C1786" s="5" t="s">
        <v>4296</v>
      </c>
      <c r="D1786" s="5" t="s">
        <v>3168</v>
      </c>
      <c r="E1786" s="5" t="s">
        <v>4903</v>
      </c>
      <c r="F1786" s="3" t="s">
        <v>4297</v>
      </c>
      <c r="G1786" s="3" t="str">
        <f>"00797756"</f>
        <v>00797756</v>
      </c>
    </row>
    <row r="1787" spans="1:7" x14ac:dyDescent="0.25">
      <c r="A1787" s="2">
        <v>1786</v>
      </c>
      <c r="B1787" s="3">
        <v>631</v>
      </c>
      <c r="C1787" s="5" t="s">
        <v>1314</v>
      </c>
      <c r="D1787" s="5" t="s">
        <v>11</v>
      </c>
      <c r="E1787" s="5" t="s">
        <v>14</v>
      </c>
      <c r="F1787" s="3" t="s">
        <v>1315</v>
      </c>
      <c r="G1787" s="3" t="str">
        <f>"00817683"</f>
        <v>00817683</v>
      </c>
    </row>
    <row r="1788" spans="1:7" x14ac:dyDescent="0.25">
      <c r="A1788" s="2">
        <v>1787</v>
      </c>
      <c r="B1788" s="3">
        <v>6397</v>
      </c>
      <c r="C1788" s="5" t="s">
        <v>4204</v>
      </c>
      <c r="D1788" s="5" t="s">
        <v>129</v>
      </c>
      <c r="E1788" s="5" t="s">
        <v>284</v>
      </c>
      <c r="F1788" s="3" t="s">
        <v>4205</v>
      </c>
      <c r="G1788" s="3" t="str">
        <f>"00848260"</f>
        <v>00848260</v>
      </c>
    </row>
    <row r="1789" spans="1:7" x14ac:dyDescent="0.25">
      <c r="A1789" s="2">
        <v>1788</v>
      </c>
      <c r="B1789" s="3">
        <v>9429</v>
      </c>
      <c r="C1789" s="5" t="s">
        <v>253</v>
      </c>
      <c r="D1789" s="5" t="s">
        <v>252</v>
      </c>
      <c r="E1789" s="5" t="s">
        <v>776</v>
      </c>
      <c r="F1789" s="3">
        <v>1067645</v>
      </c>
      <c r="G1789" s="3" t="str">
        <f>"01013925"</f>
        <v>01013925</v>
      </c>
    </row>
    <row r="1790" spans="1:7" x14ac:dyDescent="0.25">
      <c r="A1790" s="2">
        <v>1789</v>
      </c>
      <c r="B1790" s="3">
        <v>10038</v>
      </c>
      <c r="C1790" s="5" t="s">
        <v>2491</v>
      </c>
      <c r="D1790" s="5" t="s">
        <v>14</v>
      </c>
      <c r="E1790" s="5" t="s">
        <v>87</v>
      </c>
      <c r="F1790" s="3" t="s">
        <v>2492</v>
      </c>
      <c r="G1790" s="3" t="str">
        <f>"00982828"</f>
        <v>00982828</v>
      </c>
    </row>
    <row r="1791" spans="1:7" x14ac:dyDescent="0.25">
      <c r="A1791" s="2">
        <v>1790</v>
      </c>
      <c r="B1791" s="3">
        <v>7033</v>
      </c>
      <c r="C1791" s="5" t="s">
        <v>4665</v>
      </c>
      <c r="D1791" s="5" t="s">
        <v>4664</v>
      </c>
      <c r="E1791" s="5" t="s">
        <v>4919</v>
      </c>
      <c r="F1791" s="3" t="s">
        <v>4666</v>
      </c>
      <c r="G1791" s="3" t="str">
        <f>"00464839"</f>
        <v>00464839</v>
      </c>
    </row>
    <row r="1792" spans="1:7" x14ac:dyDescent="0.25">
      <c r="A1792" s="2">
        <v>1791</v>
      </c>
      <c r="B1792" s="3">
        <v>3785</v>
      </c>
      <c r="C1792" s="5" t="s">
        <v>825</v>
      </c>
      <c r="D1792" s="5" t="s">
        <v>44</v>
      </c>
      <c r="E1792" s="5" t="s">
        <v>102</v>
      </c>
      <c r="F1792" s="3" t="s">
        <v>826</v>
      </c>
      <c r="G1792" s="3" t="str">
        <f>"00844813"</f>
        <v>00844813</v>
      </c>
    </row>
    <row r="1793" spans="1:7" x14ac:dyDescent="0.25">
      <c r="A1793" s="2">
        <v>1792</v>
      </c>
      <c r="B1793" s="3">
        <v>6192</v>
      </c>
      <c r="C1793" s="5" t="s">
        <v>2867</v>
      </c>
      <c r="D1793" s="5" t="s">
        <v>159</v>
      </c>
      <c r="E1793" s="5" t="s">
        <v>44</v>
      </c>
      <c r="F1793" s="3" t="s">
        <v>2868</v>
      </c>
      <c r="G1793" s="3" t="str">
        <f>"00916019"</f>
        <v>00916019</v>
      </c>
    </row>
    <row r="1794" spans="1:7" x14ac:dyDescent="0.25">
      <c r="A1794" s="2">
        <v>1793</v>
      </c>
      <c r="B1794" s="3">
        <v>10711</v>
      </c>
      <c r="C1794" s="5" t="s">
        <v>628</v>
      </c>
      <c r="D1794" s="5" t="s">
        <v>627</v>
      </c>
      <c r="E1794" s="5" t="s">
        <v>87</v>
      </c>
      <c r="F1794" s="3" t="s">
        <v>629</v>
      </c>
      <c r="G1794" s="3" t="str">
        <f>"00737090"</f>
        <v>00737090</v>
      </c>
    </row>
    <row r="1795" spans="1:7" x14ac:dyDescent="0.25">
      <c r="A1795" s="2">
        <v>1794</v>
      </c>
      <c r="B1795" s="3">
        <v>5557</v>
      </c>
      <c r="C1795" s="5" t="s">
        <v>3112</v>
      </c>
      <c r="D1795" s="5" t="s">
        <v>3111</v>
      </c>
      <c r="E1795" s="5" t="s">
        <v>284</v>
      </c>
      <c r="F1795" s="3" t="s">
        <v>3113</v>
      </c>
      <c r="G1795" s="3" t="str">
        <f>"00840762"</f>
        <v>00840762</v>
      </c>
    </row>
    <row r="1796" spans="1:7" x14ac:dyDescent="0.25">
      <c r="A1796" s="2">
        <v>1795</v>
      </c>
      <c r="B1796" s="3">
        <v>10953</v>
      </c>
      <c r="C1796" s="5" t="s">
        <v>2812</v>
      </c>
      <c r="D1796" s="5" t="s">
        <v>11</v>
      </c>
      <c r="E1796" s="5" t="s">
        <v>4864</v>
      </c>
      <c r="F1796" s="3" t="s">
        <v>2813</v>
      </c>
      <c r="G1796" s="3" t="str">
        <f>"00444744"</f>
        <v>00444744</v>
      </c>
    </row>
    <row r="1797" spans="1:7" x14ac:dyDescent="0.25">
      <c r="A1797" s="2">
        <v>1796</v>
      </c>
      <c r="B1797" s="3">
        <v>5570</v>
      </c>
      <c r="C1797" s="5" t="s">
        <v>4768</v>
      </c>
      <c r="D1797" s="5" t="s">
        <v>32</v>
      </c>
      <c r="E1797" s="5" t="s">
        <v>252</v>
      </c>
      <c r="F1797" s="3">
        <v>2013629</v>
      </c>
      <c r="G1797" s="3" t="str">
        <f>"00925303"</f>
        <v>00925303</v>
      </c>
    </row>
    <row r="1798" spans="1:7" x14ac:dyDescent="0.25">
      <c r="A1798" s="2">
        <v>1797</v>
      </c>
      <c r="B1798" s="3">
        <v>8789</v>
      </c>
      <c r="C1798" s="5" t="s">
        <v>3666</v>
      </c>
      <c r="D1798" s="5" t="s">
        <v>2022</v>
      </c>
      <c r="E1798" s="5" t="s">
        <v>1152</v>
      </c>
      <c r="F1798" s="3" t="s">
        <v>3667</v>
      </c>
      <c r="G1798" s="3" t="str">
        <f>"01001383"</f>
        <v>01001383</v>
      </c>
    </row>
    <row r="1799" spans="1:7" x14ac:dyDescent="0.25">
      <c r="A1799" s="2">
        <v>1798</v>
      </c>
      <c r="B1799" s="3">
        <v>4583</v>
      </c>
      <c r="C1799" s="5" t="s">
        <v>1372</v>
      </c>
      <c r="D1799" s="5" t="s">
        <v>32</v>
      </c>
      <c r="E1799" s="5" t="s">
        <v>14</v>
      </c>
      <c r="F1799" s="3" t="s">
        <v>1373</v>
      </c>
      <c r="G1799" s="3" t="str">
        <f>"00147998"</f>
        <v>00147998</v>
      </c>
    </row>
    <row r="1800" spans="1:7" x14ac:dyDescent="0.25">
      <c r="A1800" s="2">
        <v>1799</v>
      </c>
      <c r="B1800" s="3">
        <v>7321</v>
      </c>
      <c r="C1800" s="5" t="s">
        <v>3834</v>
      </c>
      <c r="D1800" s="5" t="s">
        <v>1152</v>
      </c>
      <c r="E1800" s="5" t="s">
        <v>503</v>
      </c>
      <c r="F1800" s="3" t="s">
        <v>3835</v>
      </c>
      <c r="G1800" s="3" t="str">
        <f>"00980138"</f>
        <v>00980138</v>
      </c>
    </row>
    <row r="1801" spans="1:7" x14ac:dyDescent="0.25">
      <c r="A1801" s="2">
        <v>1800</v>
      </c>
      <c r="B1801" s="3">
        <v>11488</v>
      </c>
      <c r="C1801" s="5" t="s">
        <v>648</v>
      </c>
      <c r="D1801" s="5" t="s">
        <v>647</v>
      </c>
      <c r="E1801" s="5" t="s">
        <v>4802</v>
      </c>
      <c r="F1801" s="3" t="s">
        <v>649</v>
      </c>
      <c r="G1801" s="3" t="str">
        <f>"00904736"</f>
        <v>00904736</v>
      </c>
    </row>
    <row r="1802" spans="1:7" x14ac:dyDescent="0.25">
      <c r="A1802" s="2">
        <v>1801</v>
      </c>
      <c r="B1802" s="3">
        <v>5545</v>
      </c>
      <c r="C1802" s="5" t="s">
        <v>3339</v>
      </c>
      <c r="D1802" s="5" t="s">
        <v>1432</v>
      </c>
      <c r="E1802" s="5" t="s">
        <v>5</v>
      </c>
      <c r="F1802" s="3" t="s">
        <v>3340</v>
      </c>
      <c r="G1802" s="3" t="str">
        <f>"00347391"</f>
        <v>00347391</v>
      </c>
    </row>
    <row r="1803" spans="1:7" x14ac:dyDescent="0.25">
      <c r="A1803" s="2">
        <v>1802</v>
      </c>
      <c r="B1803" s="3">
        <v>100</v>
      </c>
      <c r="C1803" s="5" t="s">
        <v>1954</v>
      </c>
      <c r="D1803" s="5" t="s">
        <v>1953</v>
      </c>
      <c r="E1803" s="5" t="s">
        <v>129</v>
      </c>
      <c r="F1803" s="3" t="s">
        <v>1955</v>
      </c>
      <c r="G1803" s="3" t="str">
        <f>"00557145"</f>
        <v>00557145</v>
      </c>
    </row>
    <row r="1804" spans="1:7" x14ac:dyDescent="0.25">
      <c r="A1804" s="2">
        <v>1803</v>
      </c>
      <c r="B1804" s="3">
        <v>10706</v>
      </c>
      <c r="C1804" s="5" t="s">
        <v>3451</v>
      </c>
      <c r="D1804" s="5" t="s">
        <v>3450</v>
      </c>
      <c r="E1804" s="5" t="s">
        <v>41</v>
      </c>
      <c r="F1804" s="3" t="s">
        <v>3452</v>
      </c>
      <c r="G1804" s="3" t="str">
        <f>"201409001855"</f>
        <v>201409001855</v>
      </c>
    </row>
    <row r="1805" spans="1:7" x14ac:dyDescent="0.25">
      <c r="A1805" s="2">
        <v>1804</v>
      </c>
      <c r="B1805" s="3">
        <v>4277</v>
      </c>
      <c r="C1805" s="5" t="s">
        <v>4567</v>
      </c>
      <c r="D1805" s="5" t="s">
        <v>263</v>
      </c>
      <c r="E1805" s="5" t="s">
        <v>5</v>
      </c>
      <c r="F1805" s="3" t="s">
        <v>4568</v>
      </c>
      <c r="G1805" s="3" t="str">
        <f>"00411305"</f>
        <v>00411305</v>
      </c>
    </row>
    <row r="1806" spans="1:7" x14ac:dyDescent="0.25">
      <c r="A1806" s="2">
        <v>1805</v>
      </c>
      <c r="B1806" s="3">
        <v>12213</v>
      </c>
      <c r="C1806" s="5" t="s">
        <v>783</v>
      </c>
      <c r="D1806" s="5" t="s">
        <v>129</v>
      </c>
      <c r="E1806" s="5" t="s">
        <v>52</v>
      </c>
      <c r="F1806" s="3" t="s">
        <v>784</v>
      </c>
      <c r="G1806" s="3" t="str">
        <f>"01013423"</f>
        <v>01013423</v>
      </c>
    </row>
    <row r="1807" spans="1:7" x14ac:dyDescent="0.25">
      <c r="A1807" s="2">
        <v>1806</v>
      </c>
      <c r="B1807" s="3">
        <v>5778</v>
      </c>
      <c r="C1807" s="5" t="s">
        <v>688</v>
      </c>
      <c r="D1807" s="5" t="s">
        <v>52</v>
      </c>
      <c r="E1807" s="5" t="s">
        <v>44</v>
      </c>
      <c r="F1807" s="3" t="s">
        <v>689</v>
      </c>
      <c r="G1807" s="3" t="str">
        <f>"00817706"</f>
        <v>00817706</v>
      </c>
    </row>
    <row r="1808" spans="1:7" x14ac:dyDescent="0.25">
      <c r="A1808" s="2">
        <v>1807</v>
      </c>
      <c r="B1808" s="3">
        <v>6135</v>
      </c>
      <c r="C1808" s="5" t="s">
        <v>2704</v>
      </c>
      <c r="D1808" s="5" t="s">
        <v>5</v>
      </c>
      <c r="E1808" s="5" t="s">
        <v>14</v>
      </c>
      <c r="F1808" s="3" t="s">
        <v>2705</v>
      </c>
      <c r="G1808" s="3" t="str">
        <f>"00768299"</f>
        <v>00768299</v>
      </c>
    </row>
    <row r="1809" spans="1:7" x14ac:dyDescent="0.25">
      <c r="A1809" s="2">
        <v>1808</v>
      </c>
      <c r="B1809" s="3">
        <v>906</v>
      </c>
      <c r="C1809" s="5" t="s">
        <v>2822</v>
      </c>
      <c r="D1809" s="5" t="s">
        <v>87</v>
      </c>
      <c r="E1809" s="5" t="s">
        <v>44</v>
      </c>
      <c r="F1809" s="3" t="s">
        <v>2823</v>
      </c>
      <c r="G1809" s="3" t="str">
        <f>"01011111"</f>
        <v>01011111</v>
      </c>
    </row>
    <row r="1810" spans="1:7" x14ac:dyDescent="0.25">
      <c r="A1810" s="2">
        <v>1809</v>
      </c>
      <c r="B1810" s="3">
        <v>1605</v>
      </c>
      <c r="C1810" s="5" t="s">
        <v>2027</v>
      </c>
      <c r="D1810" s="5" t="s">
        <v>284</v>
      </c>
      <c r="E1810" s="5" t="s">
        <v>545</v>
      </c>
      <c r="F1810" s="3" t="s">
        <v>2028</v>
      </c>
      <c r="G1810" s="3" t="str">
        <f>"00929682"</f>
        <v>00929682</v>
      </c>
    </row>
    <row r="1811" spans="1:7" x14ac:dyDescent="0.25">
      <c r="A1811" s="2">
        <v>1810</v>
      </c>
      <c r="B1811" s="3">
        <v>3840</v>
      </c>
      <c r="C1811" s="5" t="s">
        <v>2345</v>
      </c>
      <c r="D1811" s="5" t="s">
        <v>2344</v>
      </c>
      <c r="E1811" s="5" t="s">
        <v>2628</v>
      </c>
      <c r="F1811" s="3" t="s">
        <v>2346</v>
      </c>
      <c r="G1811" s="3" t="str">
        <f>"00491530"</f>
        <v>00491530</v>
      </c>
    </row>
    <row r="1812" spans="1:7" x14ac:dyDescent="0.25">
      <c r="A1812" s="2">
        <v>1811</v>
      </c>
      <c r="B1812" s="3">
        <v>6131</v>
      </c>
      <c r="C1812" s="5" t="s">
        <v>4383</v>
      </c>
      <c r="D1812" s="5" t="s">
        <v>66</v>
      </c>
      <c r="E1812" s="5" t="s">
        <v>11</v>
      </c>
      <c r="F1812" s="3" t="s">
        <v>4384</v>
      </c>
      <c r="G1812" s="3" t="str">
        <f>"00924982"</f>
        <v>00924982</v>
      </c>
    </row>
    <row r="1813" spans="1:7" x14ac:dyDescent="0.25">
      <c r="A1813" s="2">
        <v>1812</v>
      </c>
      <c r="B1813" s="3">
        <v>11092</v>
      </c>
      <c r="C1813" s="5" t="s">
        <v>2496</v>
      </c>
      <c r="D1813" s="5" t="s">
        <v>2495</v>
      </c>
      <c r="E1813" s="5" t="s">
        <v>87</v>
      </c>
      <c r="F1813" s="3" t="s">
        <v>2497</v>
      </c>
      <c r="G1813" s="3" t="str">
        <f>"01016217"</f>
        <v>01016217</v>
      </c>
    </row>
    <row r="1814" spans="1:7" x14ac:dyDescent="0.25">
      <c r="A1814" s="2">
        <v>1813</v>
      </c>
      <c r="B1814" s="3">
        <v>3305</v>
      </c>
      <c r="C1814" s="5" t="s">
        <v>4547</v>
      </c>
      <c r="D1814" s="5" t="s">
        <v>382</v>
      </c>
      <c r="E1814" s="5" t="s">
        <v>44</v>
      </c>
      <c r="F1814" s="3">
        <v>986395</v>
      </c>
      <c r="G1814" s="3" t="str">
        <f>"00785281"</f>
        <v>00785281</v>
      </c>
    </row>
    <row r="1815" spans="1:7" x14ac:dyDescent="0.25">
      <c r="A1815" s="2">
        <v>1814</v>
      </c>
      <c r="B1815" s="3">
        <v>9054</v>
      </c>
      <c r="C1815" s="5" t="s">
        <v>3994</v>
      </c>
      <c r="D1815" s="5" t="s">
        <v>619</v>
      </c>
      <c r="E1815" s="5" t="s">
        <v>52</v>
      </c>
      <c r="F1815" s="3" t="s">
        <v>3995</v>
      </c>
      <c r="G1815" s="3" t="str">
        <f>"01016594"</f>
        <v>01016594</v>
      </c>
    </row>
    <row r="1816" spans="1:7" x14ac:dyDescent="0.25">
      <c r="A1816" s="2">
        <v>1815</v>
      </c>
      <c r="B1816" s="3">
        <v>1418</v>
      </c>
      <c r="C1816" s="5" t="s">
        <v>208</v>
      </c>
      <c r="D1816" s="5" t="s">
        <v>207</v>
      </c>
      <c r="E1816" s="5" t="s">
        <v>44</v>
      </c>
      <c r="F1816" s="3" t="s">
        <v>209</v>
      </c>
      <c r="G1816" s="3" t="str">
        <f>"00428118"</f>
        <v>00428118</v>
      </c>
    </row>
    <row r="1817" spans="1:7" x14ac:dyDescent="0.25">
      <c r="A1817" s="2">
        <v>1816</v>
      </c>
      <c r="B1817" s="3">
        <v>1344</v>
      </c>
      <c r="C1817" s="5" t="s">
        <v>1744</v>
      </c>
      <c r="D1817" s="5" t="s">
        <v>1743</v>
      </c>
      <c r="E1817" s="5" t="s">
        <v>207</v>
      </c>
      <c r="F1817" s="3" t="s">
        <v>1745</v>
      </c>
      <c r="G1817" s="3" t="str">
        <f>"00132779"</f>
        <v>00132779</v>
      </c>
    </row>
    <row r="1818" spans="1:7" x14ac:dyDescent="0.25">
      <c r="A1818" s="2">
        <v>1817</v>
      </c>
      <c r="B1818" s="3">
        <v>165</v>
      </c>
      <c r="C1818" s="5" t="s">
        <v>1790</v>
      </c>
      <c r="D1818" s="5" t="s">
        <v>14</v>
      </c>
      <c r="E1818" s="5" t="s">
        <v>52</v>
      </c>
      <c r="F1818" s="3" t="s">
        <v>1791</v>
      </c>
      <c r="G1818" s="3" t="str">
        <f>"00980368"</f>
        <v>00980368</v>
      </c>
    </row>
    <row r="1819" spans="1:7" x14ac:dyDescent="0.25">
      <c r="A1819" s="2">
        <v>1818</v>
      </c>
      <c r="B1819" s="3">
        <v>2303</v>
      </c>
      <c r="C1819" s="5" t="s">
        <v>445</v>
      </c>
      <c r="D1819" s="5" t="s">
        <v>444</v>
      </c>
      <c r="E1819" s="5" t="s">
        <v>167</v>
      </c>
      <c r="F1819" s="3" t="s">
        <v>446</v>
      </c>
      <c r="G1819" s="3" t="str">
        <f>"00981546"</f>
        <v>00981546</v>
      </c>
    </row>
    <row r="1820" spans="1:7" x14ac:dyDescent="0.25">
      <c r="A1820" s="2">
        <v>1819</v>
      </c>
      <c r="B1820" s="3">
        <v>680</v>
      </c>
      <c r="C1820" s="5" t="s">
        <v>2948</v>
      </c>
      <c r="D1820" s="5" t="s">
        <v>667</v>
      </c>
      <c r="E1820" s="5" t="s">
        <v>11</v>
      </c>
      <c r="F1820" s="3">
        <v>900713011</v>
      </c>
      <c r="G1820" s="3" t="str">
        <f>"00981390"</f>
        <v>00981390</v>
      </c>
    </row>
    <row r="1821" spans="1:7" x14ac:dyDescent="0.25">
      <c r="A1821" s="2">
        <v>1820</v>
      </c>
      <c r="B1821" s="3">
        <v>2824</v>
      </c>
      <c r="C1821" s="5" t="s">
        <v>578</v>
      </c>
      <c r="D1821" s="5" t="s">
        <v>577</v>
      </c>
      <c r="E1821" s="5" t="s">
        <v>4797</v>
      </c>
      <c r="F1821" s="3" t="s">
        <v>579</v>
      </c>
      <c r="G1821" s="3" t="str">
        <f>"01009811"</f>
        <v>01009811</v>
      </c>
    </row>
    <row r="1822" spans="1:7" x14ac:dyDescent="0.25">
      <c r="A1822" s="2">
        <v>1821</v>
      </c>
      <c r="B1822" s="3">
        <v>253</v>
      </c>
      <c r="C1822" s="5" t="s">
        <v>3757</v>
      </c>
      <c r="D1822" s="5" t="s">
        <v>421</v>
      </c>
      <c r="E1822" s="5" t="s">
        <v>214</v>
      </c>
      <c r="F1822" s="3" t="s">
        <v>3758</v>
      </c>
      <c r="G1822" s="3" t="str">
        <f>"00270815"</f>
        <v>00270815</v>
      </c>
    </row>
    <row r="1823" spans="1:7" x14ac:dyDescent="0.25">
      <c r="A1823" s="2">
        <v>1822</v>
      </c>
      <c r="B1823" s="3">
        <v>12891</v>
      </c>
      <c r="C1823" s="5" t="s">
        <v>3886</v>
      </c>
      <c r="D1823" s="5" t="s">
        <v>14</v>
      </c>
      <c r="E1823" s="5" t="s">
        <v>113</v>
      </c>
      <c r="F1823" s="3" t="s">
        <v>4300</v>
      </c>
      <c r="G1823" s="3" t="str">
        <f>"00977258"</f>
        <v>00977258</v>
      </c>
    </row>
    <row r="1824" spans="1:7" x14ac:dyDescent="0.25">
      <c r="A1824" s="2">
        <v>1823</v>
      </c>
      <c r="B1824" s="3">
        <v>918</v>
      </c>
      <c r="C1824" s="5" t="s">
        <v>3886</v>
      </c>
      <c r="D1824" s="5" t="s">
        <v>3885</v>
      </c>
      <c r="E1824" s="5" t="s">
        <v>113</v>
      </c>
      <c r="F1824" s="3" t="s">
        <v>3887</v>
      </c>
      <c r="G1824" s="3" t="str">
        <f>"00934069"</f>
        <v>00934069</v>
      </c>
    </row>
    <row r="1825" spans="1:7" x14ac:dyDescent="0.25">
      <c r="A1825" s="2">
        <v>1824</v>
      </c>
      <c r="B1825" s="3">
        <v>864</v>
      </c>
      <c r="C1825" s="5" t="s">
        <v>3945</v>
      </c>
      <c r="D1825" s="5" t="s">
        <v>126</v>
      </c>
      <c r="E1825" s="5" t="s">
        <v>705</v>
      </c>
      <c r="F1825" s="3" t="s">
        <v>3946</v>
      </c>
      <c r="G1825" s="3" t="str">
        <f>"01016602"</f>
        <v>01016602</v>
      </c>
    </row>
    <row r="1826" spans="1:7" x14ac:dyDescent="0.25">
      <c r="A1826" s="2">
        <v>1825</v>
      </c>
      <c r="B1826" s="3">
        <v>3331</v>
      </c>
      <c r="C1826" s="5" t="s">
        <v>3945</v>
      </c>
      <c r="D1826" s="5" t="s">
        <v>126</v>
      </c>
      <c r="E1826" s="5" t="s">
        <v>44</v>
      </c>
      <c r="F1826" s="3" t="s">
        <v>4200</v>
      </c>
      <c r="G1826" s="3" t="str">
        <f>"00373791"</f>
        <v>00373791</v>
      </c>
    </row>
    <row r="1827" spans="1:7" x14ac:dyDescent="0.25">
      <c r="A1827" s="2">
        <v>1826</v>
      </c>
      <c r="B1827" s="3">
        <v>7932</v>
      </c>
      <c r="C1827" s="5" t="s">
        <v>3071</v>
      </c>
      <c r="D1827" s="5" t="s">
        <v>622</v>
      </c>
      <c r="E1827" s="5" t="s">
        <v>32</v>
      </c>
      <c r="F1827" s="3" t="s">
        <v>3072</v>
      </c>
      <c r="G1827" s="3" t="str">
        <f>"00818527"</f>
        <v>00818527</v>
      </c>
    </row>
    <row r="1828" spans="1:7" x14ac:dyDescent="0.25">
      <c r="A1828" s="2">
        <v>1827</v>
      </c>
      <c r="B1828" s="3">
        <v>10107</v>
      </c>
      <c r="C1828" s="5" t="s">
        <v>4464</v>
      </c>
      <c r="D1828" s="5" t="s">
        <v>38</v>
      </c>
      <c r="E1828" s="5" t="s">
        <v>63</v>
      </c>
      <c r="F1828" s="3">
        <v>900724010</v>
      </c>
      <c r="G1828" s="3" t="str">
        <f>"00395523"</f>
        <v>00395523</v>
      </c>
    </row>
    <row r="1829" spans="1:7" x14ac:dyDescent="0.25">
      <c r="A1829" s="2">
        <v>1828</v>
      </c>
      <c r="B1829" s="3">
        <v>11136</v>
      </c>
      <c r="C1829" s="5" t="s">
        <v>3024</v>
      </c>
      <c r="D1829" s="5" t="s">
        <v>162</v>
      </c>
      <c r="E1829" s="5" t="s">
        <v>52</v>
      </c>
      <c r="F1829" s="3" t="s">
        <v>3025</v>
      </c>
      <c r="G1829" s="3" t="str">
        <f>"201406006680"</f>
        <v>201406006680</v>
      </c>
    </row>
    <row r="1830" spans="1:7" x14ac:dyDescent="0.25">
      <c r="A1830" s="2">
        <v>1829</v>
      </c>
      <c r="B1830" s="3">
        <v>4158</v>
      </c>
      <c r="C1830" s="5" t="s">
        <v>100</v>
      </c>
      <c r="D1830" s="5" t="s">
        <v>99</v>
      </c>
      <c r="E1830" s="5" t="s">
        <v>32</v>
      </c>
      <c r="F1830" s="3" t="s">
        <v>101</v>
      </c>
      <c r="G1830" s="3" t="str">
        <f>"00985347"</f>
        <v>00985347</v>
      </c>
    </row>
    <row r="1831" spans="1:7" x14ac:dyDescent="0.25">
      <c r="A1831" s="2">
        <v>1830</v>
      </c>
      <c r="B1831" s="3">
        <v>12940</v>
      </c>
      <c r="C1831" s="5" t="s">
        <v>2005</v>
      </c>
      <c r="D1831" s="5" t="s">
        <v>44</v>
      </c>
      <c r="E1831" s="5" t="s">
        <v>38</v>
      </c>
      <c r="F1831" s="3" t="s">
        <v>2006</v>
      </c>
      <c r="G1831" s="3" t="str">
        <f>"00980065"</f>
        <v>00980065</v>
      </c>
    </row>
    <row r="1832" spans="1:7" x14ac:dyDescent="0.25">
      <c r="A1832" s="2">
        <v>1831</v>
      </c>
      <c r="B1832" s="3">
        <v>11416</v>
      </c>
      <c r="C1832" s="5" t="s">
        <v>4083</v>
      </c>
      <c r="D1832" s="5" t="s">
        <v>52</v>
      </c>
      <c r="E1832" s="5" t="s">
        <v>14</v>
      </c>
      <c r="F1832" s="3" t="s">
        <v>4084</v>
      </c>
      <c r="G1832" s="3" t="str">
        <f>"01015177"</f>
        <v>01015177</v>
      </c>
    </row>
    <row r="1833" spans="1:7" x14ac:dyDescent="0.25">
      <c r="A1833" s="2">
        <v>1832</v>
      </c>
      <c r="B1833" s="3">
        <v>5575</v>
      </c>
      <c r="C1833" s="5" t="s">
        <v>4267</v>
      </c>
      <c r="D1833" s="5" t="s">
        <v>159</v>
      </c>
      <c r="E1833" s="5" t="s">
        <v>5</v>
      </c>
      <c r="F1833" s="3" t="s">
        <v>4268</v>
      </c>
      <c r="G1833" s="3" t="str">
        <f>"00182510"</f>
        <v>00182510</v>
      </c>
    </row>
    <row r="1834" spans="1:7" x14ac:dyDescent="0.25">
      <c r="A1834" s="2">
        <v>1833</v>
      </c>
      <c r="B1834" s="3">
        <v>6027</v>
      </c>
      <c r="C1834" s="5" t="s">
        <v>2467</v>
      </c>
      <c r="D1834" s="5" t="s">
        <v>84</v>
      </c>
      <c r="E1834" s="5" t="s">
        <v>38</v>
      </c>
      <c r="F1834" s="3" t="s">
        <v>2468</v>
      </c>
      <c r="G1834" s="3" t="str">
        <f>"00732899"</f>
        <v>00732899</v>
      </c>
    </row>
    <row r="1835" spans="1:7" x14ac:dyDescent="0.25">
      <c r="A1835" s="2">
        <v>1834</v>
      </c>
      <c r="B1835" s="3">
        <v>3796</v>
      </c>
      <c r="C1835" s="5" t="s">
        <v>2163</v>
      </c>
      <c r="D1835" s="5" t="s">
        <v>619</v>
      </c>
      <c r="E1835" s="5" t="s">
        <v>135</v>
      </c>
      <c r="F1835" s="3" t="s">
        <v>2164</v>
      </c>
      <c r="G1835" s="3" t="str">
        <f>"01015529"</f>
        <v>01015529</v>
      </c>
    </row>
    <row r="1836" spans="1:7" x14ac:dyDescent="0.25">
      <c r="A1836" s="2">
        <v>1835</v>
      </c>
      <c r="B1836" s="3">
        <v>73</v>
      </c>
      <c r="C1836" s="5" t="s">
        <v>3084</v>
      </c>
      <c r="D1836" s="5" t="s">
        <v>3083</v>
      </c>
      <c r="E1836" s="5" t="s">
        <v>5</v>
      </c>
      <c r="F1836" s="3" t="s">
        <v>3085</v>
      </c>
      <c r="G1836" s="3" t="str">
        <f>"00913852"</f>
        <v>00913852</v>
      </c>
    </row>
    <row r="1837" spans="1:7" x14ac:dyDescent="0.25">
      <c r="A1837" s="2">
        <v>1836</v>
      </c>
      <c r="B1837" s="3">
        <v>5962</v>
      </c>
      <c r="C1837" s="5" t="s">
        <v>155</v>
      </c>
      <c r="D1837" s="5" t="s">
        <v>154</v>
      </c>
      <c r="E1837" s="5" t="s">
        <v>32</v>
      </c>
      <c r="F1837" s="3" t="s">
        <v>156</v>
      </c>
      <c r="G1837" s="3" t="str">
        <f>"00975876"</f>
        <v>00975876</v>
      </c>
    </row>
    <row r="1838" spans="1:7" x14ac:dyDescent="0.25">
      <c r="A1838" s="2">
        <v>1837</v>
      </c>
      <c r="B1838" s="3">
        <v>12535</v>
      </c>
      <c r="C1838" s="5" t="s">
        <v>2522</v>
      </c>
      <c r="D1838" s="5" t="s">
        <v>44</v>
      </c>
      <c r="E1838" s="5" t="s">
        <v>14</v>
      </c>
      <c r="F1838" s="3" t="s">
        <v>2523</v>
      </c>
      <c r="G1838" s="3" t="str">
        <f>"01011455"</f>
        <v>01011455</v>
      </c>
    </row>
    <row r="1839" spans="1:7" x14ac:dyDescent="0.25">
      <c r="A1839" s="2">
        <v>1838</v>
      </c>
      <c r="B1839" s="3">
        <v>9454</v>
      </c>
      <c r="C1839" s="5" t="s">
        <v>1202</v>
      </c>
      <c r="D1839" s="5" t="s">
        <v>532</v>
      </c>
      <c r="E1839" s="5" t="s">
        <v>214</v>
      </c>
      <c r="F1839" s="3" t="s">
        <v>1203</v>
      </c>
      <c r="G1839" s="3" t="str">
        <f>"201603000630"</f>
        <v>201603000630</v>
      </c>
    </row>
    <row r="1840" spans="1:7" x14ac:dyDescent="0.25">
      <c r="A1840" s="2">
        <v>1839</v>
      </c>
      <c r="B1840" s="3">
        <v>6652</v>
      </c>
      <c r="C1840" s="5" t="s">
        <v>1527</v>
      </c>
      <c r="D1840" s="5" t="s">
        <v>1526</v>
      </c>
      <c r="E1840" s="5" t="s">
        <v>41</v>
      </c>
      <c r="F1840" s="3" t="s">
        <v>1528</v>
      </c>
      <c r="G1840" s="3" t="str">
        <f>"00622548"</f>
        <v>00622548</v>
      </c>
    </row>
    <row r="1841" spans="1:7" x14ac:dyDescent="0.25">
      <c r="A1841" s="2">
        <v>1840</v>
      </c>
      <c r="B1841" s="3">
        <v>4427</v>
      </c>
      <c r="C1841" s="5" t="s">
        <v>4622</v>
      </c>
      <c r="D1841" s="5" t="s">
        <v>102</v>
      </c>
      <c r="E1841" s="5" t="s">
        <v>32</v>
      </c>
      <c r="F1841" s="3" t="s">
        <v>4623</v>
      </c>
      <c r="G1841" s="3" t="str">
        <f>"01015765"</f>
        <v>01015765</v>
      </c>
    </row>
    <row r="1842" spans="1:7" x14ac:dyDescent="0.25">
      <c r="A1842" s="2">
        <v>1841</v>
      </c>
      <c r="B1842" s="3">
        <v>8396</v>
      </c>
      <c r="C1842" s="5" t="s">
        <v>3248</v>
      </c>
      <c r="D1842" s="5" t="s">
        <v>162</v>
      </c>
      <c r="E1842" s="5" t="s">
        <v>63</v>
      </c>
      <c r="F1842" s="3" t="s">
        <v>3249</v>
      </c>
      <c r="G1842" s="3" t="str">
        <f>"01010664"</f>
        <v>01010664</v>
      </c>
    </row>
    <row r="1843" spans="1:7" x14ac:dyDescent="0.25">
      <c r="A1843" s="2">
        <v>1842</v>
      </c>
      <c r="B1843" s="3">
        <v>3829</v>
      </c>
      <c r="C1843" s="5" t="s">
        <v>791</v>
      </c>
      <c r="D1843" s="5" t="s">
        <v>790</v>
      </c>
      <c r="E1843" s="5" t="s">
        <v>63</v>
      </c>
      <c r="F1843" s="3" t="s">
        <v>792</v>
      </c>
      <c r="G1843" s="3" t="str">
        <f>"01010576"</f>
        <v>01010576</v>
      </c>
    </row>
    <row r="1844" spans="1:7" x14ac:dyDescent="0.25">
      <c r="A1844" s="2">
        <v>1843</v>
      </c>
      <c r="B1844" s="3">
        <v>12680</v>
      </c>
      <c r="C1844" s="5" t="s">
        <v>871</v>
      </c>
      <c r="D1844" s="5" t="s">
        <v>126</v>
      </c>
      <c r="E1844" s="5" t="s">
        <v>11</v>
      </c>
      <c r="F1844" s="3" t="s">
        <v>872</v>
      </c>
      <c r="G1844" s="3" t="str">
        <f>"00984068"</f>
        <v>00984068</v>
      </c>
    </row>
    <row r="1845" spans="1:7" x14ac:dyDescent="0.25">
      <c r="A1845" s="2">
        <v>1844</v>
      </c>
      <c r="B1845" s="3">
        <v>5308</v>
      </c>
      <c r="C1845" s="5" t="s">
        <v>236</v>
      </c>
      <c r="D1845" s="5" t="s">
        <v>52</v>
      </c>
      <c r="E1845" s="5" t="s">
        <v>252</v>
      </c>
      <c r="F1845" s="3" t="s">
        <v>237</v>
      </c>
      <c r="G1845" s="3" t="str">
        <f>"00982149"</f>
        <v>00982149</v>
      </c>
    </row>
    <row r="1846" spans="1:7" x14ac:dyDescent="0.25">
      <c r="A1846" s="2">
        <v>1845</v>
      </c>
      <c r="B1846" s="3">
        <v>6763</v>
      </c>
      <c r="C1846" s="5" t="s">
        <v>236</v>
      </c>
      <c r="D1846" s="5" t="s">
        <v>5</v>
      </c>
      <c r="E1846" s="5" t="s">
        <v>588</v>
      </c>
      <c r="F1846" s="3" t="s">
        <v>4583</v>
      </c>
      <c r="G1846" s="3" t="str">
        <f>"00502190"</f>
        <v>00502190</v>
      </c>
    </row>
    <row r="1847" spans="1:7" x14ac:dyDescent="0.25">
      <c r="A1847" s="2">
        <v>1846</v>
      </c>
      <c r="B1847" s="3">
        <v>1049</v>
      </c>
      <c r="C1847" s="5" t="s">
        <v>2478</v>
      </c>
      <c r="D1847" s="5" t="s">
        <v>126</v>
      </c>
      <c r="E1847" s="5" t="s">
        <v>27</v>
      </c>
      <c r="F1847" s="3" t="s">
        <v>2479</v>
      </c>
      <c r="G1847" s="3" t="str">
        <f>"01015447"</f>
        <v>01015447</v>
      </c>
    </row>
    <row r="1848" spans="1:7" x14ac:dyDescent="0.25">
      <c r="A1848" s="2">
        <v>1847</v>
      </c>
      <c r="B1848" s="3">
        <v>5264</v>
      </c>
      <c r="C1848" s="5" t="s">
        <v>2855</v>
      </c>
      <c r="D1848" s="5" t="s">
        <v>129</v>
      </c>
      <c r="E1848" s="5" t="s">
        <v>11</v>
      </c>
      <c r="F1848" s="3" t="s">
        <v>2856</v>
      </c>
      <c r="G1848" s="3" t="str">
        <f>"00982259"</f>
        <v>00982259</v>
      </c>
    </row>
    <row r="1849" spans="1:7" x14ac:dyDescent="0.25">
      <c r="A1849" s="2">
        <v>1848</v>
      </c>
      <c r="B1849" s="3">
        <v>1701</v>
      </c>
      <c r="C1849" s="5" t="s">
        <v>4725</v>
      </c>
      <c r="D1849" s="5" t="s">
        <v>4724</v>
      </c>
      <c r="E1849" s="5" t="s">
        <v>52</v>
      </c>
      <c r="F1849" s="3" t="s">
        <v>4726</v>
      </c>
      <c r="G1849" s="3" t="str">
        <f>"00615005"</f>
        <v>00615005</v>
      </c>
    </row>
    <row r="1850" spans="1:7" x14ac:dyDescent="0.25">
      <c r="A1850" s="2">
        <v>1849</v>
      </c>
      <c r="B1850" s="3">
        <v>3614</v>
      </c>
      <c r="C1850" s="5" t="s">
        <v>2544</v>
      </c>
      <c r="D1850" s="5" t="s">
        <v>135</v>
      </c>
      <c r="E1850" s="5" t="s">
        <v>284</v>
      </c>
      <c r="F1850" s="3" t="s">
        <v>4351</v>
      </c>
      <c r="G1850" s="3" t="str">
        <f>"00470735"</f>
        <v>00470735</v>
      </c>
    </row>
    <row r="1851" spans="1:7" x14ac:dyDescent="0.25">
      <c r="A1851" s="2">
        <v>1850</v>
      </c>
      <c r="B1851" s="3">
        <v>8798</v>
      </c>
      <c r="C1851" s="5" t="s">
        <v>2544</v>
      </c>
      <c r="D1851" s="5" t="s">
        <v>252</v>
      </c>
      <c r="E1851" s="5" t="s">
        <v>82</v>
      </c>
      <c r="F1851" s="3" t="s">
        <v>2545</v>
      </c>
      <c r="G1851" s="3" t="str">
        <f>"201604005817"</f>
        <v>201604005817</v>
      </c>
    </row>
    <row r="1852" spans="1:7" x14ac:dyDescent="0.25">
      <c r="A1852" s="2">
        <v>1851</v>
      </c>
      <c r="B1852" s="3">
        <v>2075</v>
      </c>
      <c r="C1852" s="5" t="s">
        <v>3928</v>
      </c>
      <c r="D1852" s="5" t="s">
        <v>3927</v>
      </c>
      <c r="E1852" s="5" t="s">
        <v>87</v>
      </c>
      <c r="F1852" s="3" t="s">
        <v>3929</v>
      </c>
      <c r="G1852" s="3" t="str">
        <f>"00785044"</f>
        <v>00785044</v>
      </c>
    </row>
    <row r="1853" spans="1:7" x14ac:dyDescent="0.25">
      <c r="A1853" s="2">
        <v>1852</v>
      </c>
      <c r="B1853" s="3">
        <v>11902</v>
      </c>
      <c r="C1853" s="5" t="s">
        <v>3640</v>
      </c>
      <c r="D1853" s="5" t="s">
        <v>416</v>
      </c>
      <c r="E1853" s="5" t="s">
        <v>604</v>
      </c>
      <c r="F1853" s="3" t="s">
        <v>3641</v>
      </c>
      <c r="G1853" s="3" t="str">
        <f>"01014249"</f>
        <v>01014249</v>
      </c>
    </row>
    <row r="1854" spans="1:7" x14ac:dyDescent="0.25">
      <c r="A1854" s="2">
        <v>1853</v>
      </c>
      <c r="B1854" s="3">
        <v>11340</v>
      </c>
      <c r="C1854" s="5" t="s">
        <v>840</v>
      </c>
      <c r="D1854" s="5" t="s">
        <v>635</v>
      </c>
      <c r="E1854" s="5" t="s">
        <v>14</v>
      </c>
      <c r="F1854" s="3" t="s">
        <v>841</v>
      </c>
      <c r="G1854" s="3" t="str">
        <f>"00149821"</f>
        <v>00149821</v>
      </c>
    </row>
    <row r="1855" spans="1:7" x14ac:dyDescent="0.25">
      <c r="A1855" s="2">
        <v>1854</v>
      </c>
      <c r="B1855" s="3">
        <v>5774</v>
      </c>
      <c r="C1855" s="5" t="s">
        <v>1642</v>
      </c>
      <c r="D1855" s="5" t="s">
        <v>82</v>
      </c>
      <c r="E1855" s="5" t="s">
        <v>284</v>
      </c>
      <c r="F1855" s="3" t="s">
        <v>1643</v>
      </c>
      <c r="G1855" s="3" t="str">
        <f>"00986009"</f>
        <v>00986009</v>
      </c>
    </row>
    <row r="1856" spans="1:7" x14ac:dyDescent="0.25">
      <c r="A1856" s="2">
        <v>1855</v>
      </c>
      <c r="B1856" s="3">
        <v>13073</v>
      </c>
      <c r="C1856" s="5" t="s">
        <v>388</v>
      </c>
      <c r="D1856" s="5" t="s">
        <v>126</v>
      </c>
      <c r="E1856" s="5" t="s">
        <v>284</v>
      </c>
      <c r="F1856" s="3" t="s">
        <v>389</v>
      </c>
      <c r="G1856" s="3" t="str">
        <f>"00986008"</f>
        <v>00986008</v>
      </c>
    </row>
    <row r="1857" spans="1:7" x14ac:dyDescent="0.25">
      <c r="A1857" s="2">
        <v>1856</v>
      </c>
      <c r="B1857" s="3">
        <v>6965</v>
      </c>
      <c r="C1857" s="5" t="s">
        <v>1547</v>
      </c>
      <c r="D1857" s="5" t="s">
        <v>126</v>
      </c>
      <c r="E1857" s="5" t="s">
        <v>27</v>
      </c>
      <c r="F1857" s="3" t="s">
        <v>1548</v>
      </c>
      <c r="G1857" s="3" t="str">
        <f>"00992487"</f>
        <v>00992487</v>
      </c>
    </row>
    <row r="1858" spans="1:7" x14ac:dyDescent="0.25">
      <c r="A1858" s="2">
        <v>1857</v>
      </c>
      <c r="B1858" s="3">
        <v>12329</v>
      </c>
      <c r="C1858" s="5" t="s">
        <v>4591</v>
      </c>
      <c r="D1858" s="5" t="s">
        <v>126</v>
      </c>
      <c r="E1858" s="5" t="s">
        <v>284</v>
      </c>
      <c r="F1858" s="3" t="s">
        <v>4592</v>
      </c>
      <c r="G1858" s="3" t="str">
        <f>"01016663"</f>
        <v>01016663</v>
      </c>
    </row>
    <row r="1859" spans="1:7" x14ac:dyDescent="0.25">
      <c r="A1859" s="2">
        <v>1858</v>
      </c>
      <c r="B1859" s="3">
        <v>12950</v>
      </c>
      <c r="C1859" s="5" t="s">
        <v>942</v>
      </c>
      <c r="D1859" s="5" t="s">
        <v>416</v>
      </c>
      <c r="E1859" s="5" t="s">
        <v>94</v>
      </c>
      <c r="F1859" s="3" t="s">
        <v>943</v>
      </c>
      <c r="G1859" s="3" t="str">
        <f>"00307667"</f>
        <v>00307667</v>
      </c>
    </row>
    <row r="1860" spans="1:7" x14ac:dyDescent="0.25">
      <c r="A1860" s="2">
        <v>1859</v>
      </c>
      <c r="B1860" s="3">
        <v>10927</v>
      </c>
      <c r="C1860" s="5" t="s">
        <v>4081</v>
      </c>
      <c r="D1860" s="5" t="s">
        <v>87</v>
      </c>
      <c r="E1860" s="5" t="s">
        <v>479</v>
      </c>
      <c r="F1860" s="3" t="s">
        <v>4082</v>
      </c>
      <c r="G1860" s="3" t="str">
        <f>"01010096"</f>
        <v>01010096</v>
      </c>
    </row>
    <row r="1861" spans="1:7" x14ac:dyDescent="0.25">
      <c r="A1861" s="2">
        <v>1860</v>
      </c>
      <c r="B1861" s="3">
        <v>5394</v>
      </c>
      <c r="C1861" s="5" t="s">
        <v>3198</v>
      </c>
      <c r="D1861" s="5" t="s">
        <v>3197</v>
      </c>
      <c r="E1861" s="5" t="s">
        <v>11</v>
      </c>
      <c r="F1861" s="3" t="s">
        <v>3199</v>
      </c>
      <c r="G1861" s="3" t="str">
        <f>"00816616"</f>
        <v>00816616</v>
      </c>
    </row>
    <row r="1862" spans="1:7" x14ac:dyDescent="0.25">
      <c r="A1862" s="2">
        <v>1861</v>
      </c>
      <c r="B1862" s="3">
        <v>10178</v>
      </c>
      <c r="C1862" s="5" t="s">
        <v>3273</v>
      </c>
      <c r="D1862" s="5" t="s">
        <v>416</v>
      </c>
      <c r="E1862" s="5" t="s">
        <v>5</v>
      </c>
      <c r="F1862" s="3" t="s">
        <v>3274</v>
      </c>
      <c r="G1862" s="3" t="str">
        <f>"00811980"</f>
        <v>00811980</v>
      </c>
    </row>
    <row r="1863" spans="1:7" x14ac:dyDescent="0.25">
      <c r="A1863" s="2">
        <v>1862</v>
      </c>
      <c r="B1863" s="3">
        <v>3997</v>
      </c>
      <c r="C1863" s="5" t="s">
        <v>1795</v>
      </c>
      <c r="D1863" s="5" t="s">
        <v>87</v>
      </c>
      <c r="E1863" s="5" t="s">
        <v>2807</v>
      </c>
      <c r="F1863" s="3">
        <v>2719886</v>
      </c>
      <c r="G1863" s="3" t="str">
        <f>"01015394"</f>
        <v>01015394</v>
      </c>
    </row>
    <row r="1864" spans="1:7" x14ac:dyDescent="0.25">
      <c r="A1864" s="2">
        <v>1863</v>
      </c>
      <c r="B1864" s="3">
        <v>5953</v>
      </c>
      <c r="C1864" s="5" t="s">
        <v>1795</v>
      </c>
      <c r="D1864" s="5" t="s">
        <v>44</v>
      </c>
      <c r="E1864" s="5" t="s">
        <v>2807</v>
      </c>
      <c r="F1864" s="3">
        <v>2719887</v>
      </c>
      <c r="G1864" s="3" t="str">
        <f>"01015410"</f>
        <v>01015410</v>
      </c>
    </row>
    <row r="1865" spans="1:7" x14ac:dyDescent="0.25">
      <c r="A1865" s="2">
        <v>1864</v>
      </c>
      <c r="B1865" s="3">
        <v>12212</v>
      </c>
      <c r="C1865" s="5" t="s">
        <v>3741</v>
      </c>
      <c r="D1865" s="5" t="s">
        <v>198</v>
      </c>
      <c r="E1865" s="5" t="s">
        <v>284</v>
      </c>
      <c r="F1865" s="3" t="s">
        <v>3742</v>
      </c>
      <c r="G1865" s="3" t="str">
        <f>"00932474"</f>
        <v>00932474</v>
      </c>
    </row>
    <row r="1866" spans="1:7" x14ac:dyDescent="0.25">
      <c r="A1866" s="2">
        <v>1865</v>
      </c>
      <c r="B1866" s="3">
        <v>10697</v>
      </c>
      <c r="C1866" s="5" t="s">
        <v>4440</v>
      </c>
      <c r="D1866" s="5" t="s">
        <v>4439</v>
      </c>
      <c r="E1866" s="5" t="s">
        <v>14</v>
      </c>
      <c r="F1866" s="3" t="s">
        <v>4441</v>
      </c>
      <c r="G1866" s="3" t="str">
        <f>"00975553"</f>
        <v>00975553</v>
      </c>
    </row>
    <row r="1867" spans="1:7" x14ac:dyDescent="0.25">
      <c r="A1867" s="2">
        <v>1866</v>
      </c>
      <c r="B1867" s="3">
        <v>3507</v>
      </c>
      <c r="C1867" s="5" t="s">
        <v>2878</v>
      </c>
      <c r="D1867" s="5" t="s">
        <v>2877</v>
      </c>
      <c r="E1867" s="5" t="s">
        <v>63</v>
      </c>
      <c r="F1867" s="3" t="s">
        <v>2879</v>
      </c>
      <c r="G1867" s="3" t="str">
        <f>"00551091"</f>
        <v>00551091</v>
      </c>
    </row>
    <row r="1868" spans="1:7" x14ac:dyDescent="0.25">
      <c r="A1868" s="2">
        <v>1867</v>
      </c>
      <c r="B1868" s="3">
        <v>2274</v>
      </c>
      <c r="C1868" s="5" t="s">
        <v>1408</v>
      </c>
      <c r="D1868" s="5" t="s">
        <v>11</v>
      </c>
      <c r="E1868" s="5" t="s">
        <v>534</v>
      </c>
      <c r="F1868" s="3" t="s">
        <v>1409</v>
      </c>
      <c r="G1868" s="3" t="str">
        <f>"201604001191"</f>
        <v>201604001191</v>
      </c>
    </row>
    <row r="1869" spans="1:7" x14ac:dyDescent="0.25">
      <c r="A1869" s="2">
        <v>1868</v>
      </c>
      <c r="B1869" s="3">
        <v>1632</v>
      </c>
      <c r="C1869" s="5" t="s">
        <v>4100</v>
      </c>
      <c r="D1869" s="5" t="s">
        <v>126</v>
      </c>
      <c r="E1869" s="5" t="s">
        <v>87</v>
      </c>
      <c r="F1869" s="3" t="s">
        <v>4101</v>
      </c>
      <c r="G1869" s="3" t="str">
        <f>"01014356"</f>
        <v>01014356</v>
      </c>
    </row>
    <row r="1870" spans="1:7" x14ac:dyDescent="0.25">
      <c r="A1870" s="2">
        <v>1869</v>
      </c>
      <c r="B1870" s="3">
        <v>8674</v>
      </c>
      <c r="C1870" s="5" t="s">
        <v>3073</v>
      </c>
      <c r="D1870" s="5" t="s">
        <v>1023</v>
      </c>
      <c r="E1870" s="5" t="s">
        <v>632</v>
      </c>
      <c r="F1870" s="3">
        <v>2013648</v>
      </c>
      <c r="G1870" s="3" t="str">
        <f>"00794528"</f>
        <v>00794528</v>
      </c>
    </row>
    <row r="1871" spans="1:7" x14ac:dyDescent="0.25">
      <c r="A1871" s="2">
        <v>1870</v>
      </c>
      <c r="B1871" s="3">
        <v>10325</v>
      </c>
      <c r="C1871" s="5" t="s">
        <v>4682</v>
      </c>
      <c r="D1871" s="5" t="s">
        <v>2022</v>
      </c>
      <c r="E1871" s="5" t="s">
        <v>167</v>
      </c>
      <c r="F1871" s="3" t="s">
        <v>4683</v>
      </c>
      <c r="G1871" s="3" t="str">
        <f>"00987095"</f>
        <v>00987095</v>
      </c>
    </row>
    <row r="1872" spans="1:7" x14ac:dyDescent="0.25">
      <c r="A1872" s="2">
        <v>1871</v>
      </c>
      <c r="B1872" s="3">
        <v>5948</v>
      </c>
      <c r="C1872" s="5" t="s">
        <v>888</v>
      </c>
      <c r="D1872" s="5" t="s">
        <v>87</v>
      </c>
      <c r="E1872" s="5" t="s">
        <v>545</v>
      </c>
      <c r="F1872" s="3" t="s">
        <v>889</v>
      </c>
      <c r="G1872" s="3" t="str">
        <f>"00876535"</f>
        <v>00876535</v>
      </c>
    </row>
    <row r="1873" spans="1:7" x14ac:dyDescent="0.25">
      <c r="A1873" s="2">
        <v>1872</v>
      </c>
      <c r="B1873" s="3">
        <v>7793</v>
      </c>
      <c r="C1873" s="5" t="s">
        <v>495</v>
      </c>
      <c r="D1873" s="5" t="s">
        <v>198</v>
      </c>
      <c r="E1873" s="5" t="s">
        <v>5</v>
      </c>
      <c r="F1873" s="3" t="s">
        <v>496</v>
      </c>
      <c r="G1873" s="3" t="str">
        <f>"00451887"</f>
        <v>00451887</v>
      </c>
    </row>
    <row r="1874" spans="1:7" x14ac:dyDescent="0.25">
      <c r="A1874" s="2">
        <v>1873</v>
      </c>
      <c r="B1874" s="3">
        <v>10970</v>
      </c>
      <c r="C1874" s="5" t="s">
        <v>2889</v>
      </c>
      <c r="D1874" s="5" t="s">
        <v>2888</v>
      </c>
      <c r="E1874" s="5" t="s">
        <v>5</v>
      </c>
      <c r="F1874" s="3" t="s">
        <v>2890</v>
      </c>
      <c r="G1874" s="3" t="str">
        <f>"01013968"</f>
        <v>01013968</v>
      </c>
    </row>
    <row r="1875" spans="1:7" x14ac:dyDescent="0.25">
      <c r="A1875" s="2">
        <v>1874</v>
      </c>
      <c r="B1875" s="3">
        <v>12997</v>
      </c>
      <c r="C1875" s="5" t="s">
        <v>4749</v>
      </c>
      <c r="D1875" s="5" t="s">
        <v>2020</v>
      </c>
      <c r="E1875" s="5" t="s">
        <v>52</v>
      </c>
      <c r="F1875" s="3" t="s">
        <v>4750</v>
      </c>
      <c r="G1875" s="3" t="str">
        <f>"00763247"</f>
        <v>00763247</v>
      </c>
    </row>
    <row r="1876" spans="1:7" x14ac:dyDescent="0.25">
      <c r="A1876" s="2">
        <v>1875</v>
      </c>
      <c r="B1876" s="3">
        <v>2860</v>
      </c>
      <c r="C1876" s="5" t="s">
        <v>3330</v>
      </c>
      <c r="D1876" s="5" t="s">
        <v>14</v>
      </c>
      <c r="E1876" s="5" t="s">
        <v>52</v>
      </c>
      <c r="F1876" s="3" t="s">
        <v>3331</v>
      </c>
      <c r="G1876" s="3" t="str">
        <f>"00870066"</f>
        <v>00870066</v>
      </c>
    </row>
    <row r="1877" spans="1:7" x14ac:dyDescent="0.25">
      <c r="A1877" s="2">
        <v>1876</v>
      </c>
      <c r="B1877" s="3">
        <v>12980</v>
      </c>
      <c r="C1877" s="5" t="s">
        <v>1337</v>
      </c>
      <c r="D1877" s="5" t="s">
        <v>1336</v>
      </c>
      <c r="E1877" s="5" t="s">
        <v>87</v>
      </c>
      <c r="F1877" s="3" t="s">
        <v>1338</v>
      </c>
      <c r="G1877" s="3" t="str">
        <f>"00986721"</f>
        <v>00986721</v>
      </c>
    </row>
    <row r="1878" spans="1:7" x14ac:dyDescent="0.25">
      <c r="A1878" s="2">
        <v>1877</v>
      </c>
      <c r="B1878" s="3">
        <v>5585</v>
      </c>
      <c r="C1878" s="5" t="s">
        <v>1655</v>
      </c>
      <c r="D1878" s="5" t="s">
        <v>667</v>
      </c>
      <c r="E1878" s="5" t="s">
        <v>14</v>
      </c>
      <c r="F1878" s="3">
        <v>709705015</v>
      </c>
      <c r="G1878" s="3" t="str">
        <f>"01017022"</f>
        <v>01017022</v>
      </c>
    </row>
    <row r="1879" spans="1:7" x14ac:dyDescent="0.25">
      <c r="A1879" s="2">
        <v>1878</v>
      </c>
      <c r="B1879" s="3">
        <v>9038</v>
      </c>
      <c r="C1879" s="5" t="s">
        <v>1655</v>
      </c>
      <c r="D1879" s="5" t="s">
        <v>87</v>
      </c>
      <c r="E1879" s="5" t="s">
        <v>52</v>
      </c>
      <c r="F1879" s="3" t="s">
        <v>1906</v>
      </c>
      <c r="G1879" s="3" t="str">
        <f>"01016818"</f>
        <v>01016818</v>
      </c>
    </row>
    <row r="1880" spans="1:7" x14ac:dyDescent="0.25">
      <c r="A1880" s="2">
        <v>1879</v>
      </c>
      <c r="B1880" s="3">
        <v>10577</v>
      </c>
      <c r="C1880" s="5" t="s">
        <v>1655</v>
      </c>
      <c r="D1880" s="5" t="s">
        <v>1654</v>
      </c>
      <c r="E1880" s="5" t="s">
        <v>44</v>
      </c>
      <c r="F1880" s="3" t="s">
        <v>1656</v>
      </c>
      <c r="G1880" s="3" t="str">
        <f>"00981159"</f>
        <v>00981159</v>
      </c>
    </row>
    <row r="1881" spans="1:7" x14ac:dyDescent="0.25">
      <c r="A1881" s="2">
        <v>1880</v>
      </c>
      <c r="B1881" s="3">
        <v>1806</v>
      </c>
      <c r="C1881" s="5" t="s">
        <v>1655</v>
      </c>
      <c r="D1881" s="5" t="s">
        <v>102</v>
      </c>
      <c r="E1881" s="5" t="s">
        <v>129</v>
      </c>
      <c r="F1881" s="3" t="s">
        <v>3866</v>
      </c>
      <c r="G1881" s="3" t="str">
        <f>"00986301"</f>
        <v>00986301</v>
      </c>
    </row>
    <row r="1882" spans="1:7" x14ac:dyDescent="0.25">
      <c r="A1882" s="2">
        <v>1881</v>
      </c>
      <c r="B1882" s="3">
        <v>6504</v>
      </c>
      <c r="C1882" s="5" t="s">
        <v>620</v>
      </c>
      <c r="D1882" s="5" t="s">
        <v>619</v>
      </c>
      <c r="E1882" s="5" t="s">
        <v>135</v>
      </c>
      <c r="F1882" s="3" t="s">
        <v>621</v>
      </c>
      <c r="G1882" s="3" t="str">
        <f>"00516397"</f>
        <v>00516397</v>
      </c>
    </row>
    <row r="1883" spans="1:7" x14ac:dyDescent="0.25">
      <c r="A1883" s="2">
        <v>1882</v>
      </c>
      <c r="B1883" s="3">
        <v>9022</v>
      </c>
      <c r="C1883" s="5" t="s">
        <v>1062</v>
      </c>
      <c r="D1883" s="5" t="s">
        <v>372</v>
      </c>
      <c r="E1883" s="5" t="s">
        <v>5</v>
      </c>
      <c r="F1883" s="3" t="s">
        <v>1063</v>
      </c>
      <c r="G1883" s="3" t="str">
        <f>"00156060"</f>
        <v>00156060</v>
      </c>
    </row>
    <row r="1884" spans="1:7" x14ac:dyDescent="0.25">
      <c r="A1884" s="2">
        <v>1883</v>
      </c>
      <c r="B1884" s="3">
        <v>7083</v>
      </c>
      <c r="C1884" s="5" t="s">
        <v>4018</v>
      </c>
      <c r="D1884" s="5" t="s">
        <v>207</v>
      </c>
      <c r="E1884" s="5" t="s">
        <v>167</v>
      </c>
      <c r="F1884" s="3" t="s">
        <v>4019</v>
      </c>
      <c r="G1884" s="3" t="str">
        <f>"00818393"</f>
        <v>00818393</v>
      </c>
    </row>
    <row r="1885" spans="1:7" x14ac:dyDescent="0.25">
      <c r="A1885" s="2">
        <v>1884</v>
      </c>
      <c r="B1885" s="3">
        <v>12819</v>
      </c>
      <c r="C1885" s="5" t="s">
        <v>666</v>
      </c>
      <c r="D1885" s="5" t="s">
        <v>665</v>
      </c>
      <c r="E1885" s="5" t="s">
        <v>44</v>
      </c>
      <c r="F1885" s="3">
        <v>34078</v>
      </c>
      <c r="G1885" s="3" t="str">
        <f>"00983424"</f>
        <v>00983424</v>
      </c>
    </row>
    <row r="1886" spans="1:7" x14ac:dyDescent="0.25">
      <c r="A1886" s="2">
        <v>1885</v>
      </c>
      <c r="B1886" s="3">
        <v>5059</v>
      </c>
      <c r="C1886" s="5" t="s">
        <v>2216</v>
      </c>
      <c r="D1886" s="5" t="s">
        <v>545</v>
      </c>
      <c r="E1886" s="5" t="s">
        <v>52</v>
      </c>
      <c r="F1886" s="3" t="s">
        <v>2217</v>
      </c>
      <c r="G1886" s="3" t="str">
        <f>"01010991"</f>
        <v>01010991</v>
      </c>
    </row>
    <row r="1887" spans="1:7" x14ac:dyDescent="0.25">
      <c r="A1887" s="2">
        <v>1886</v>
      </c>
      <c r="B1887" s="3">
        <v>12417</v>
      </c>
      <c r="C1887" s="5" t="s">
        <v>3320</v>
      </c>
      <c r="D1887" s="5" t="s">
        <v>847</v>
      </c>
      <c r="E1887" s="5" t="s">
        <v>14</v>
      </c>
      <c r="F1887" s="3" t="s">
        <v>3321</v>
      </c>
      <c r="G1887" s="3" t="str">
        <f>"01011252"</f>
        <v>01011252</v>
      </c>
    </row>
    <row r="1888" spans="1:7" x14ac:dyDescent="0.25">
      <c r="A1888" s="2">
        <v>1887</v>
      </c>
      <c r="B1888" s="3">
        <v>12628</v>
      </c>
      <c r="C1888" s="5" t="s">
        <v>1358</v>
      </c>
      <c r="D1888" s="5" t="s">
        <v>1357</v>
      </c>
      <c r="E1888" s="5" t="s">
        <v>4820</v>
      </c>
      <c r="F1888" s="3" t="s">
        <v>1359</v>
      </c>
      <c r="G1888" s="3" t="str">
        <f>"00544563"</f>
        <v>00544563</v>
      </c>
    </row>
    <row r="1889" spans="1:7" x14ac:dyDescent="0.25">
      <c r="A1889" s="2">
        <v>1888</v>
      </c>
      <c r="B1889" s="3">
        <v>2912</v>
      </c>
      <c r="C1889" s="5" t="s">
        <v>3739</v>
      </c>
      <c r="D1889" s="5" t="s">
        <v>4349</v>
      </c>
      <c r="E1889" s="5" t="s">
        <v>44</v>
      </c>
      <c r="F1889" s="3" t="s">
        <v>4350</v>
      </c>
      <c r="G1889" s="3" t="str">
        <f>"00919116"</f>
        <v>00919116</v>
      </c>
    </row>
    <row r="1890" spans="1:7" x14ac:dyDescent="0.25">
      <c r="A1890" s="2">
        <v>1889</v>
      </c>
      <c r="B1890" s="3">
        <v>9704</v>
      </c>
      <c r="C1890" s="5" t="s">
        <v>3739</v>
      </c>
      <c r="D1890" s="5" t="s">
        <v>258</v>
      </c>
      <c r="E1890" s="5" t="s">
        <v>87</v>
      </c>
      <c r="F1890" s="3" t="s">
        <v>3740</v>
      </c>
      <c r="G1890" s="3" t="str">
        <f>"01017090"</f>
        <v>01017090</v>
      </c>
    </row>
    <row r="1891" spans="1:7" x14ac:dyDescent="0.25">
      <c r="A1891" s="2">
        <v>1890</v>
      </c>
      <c r="B1891" s="3">
        <v>7461</v>
      </c>
      <c r="C1891" s="5" t="s">
        <v>2542</v>
      </c>
      <c r="D1891" s="5" t="s">
        <v>749</v>
      </c>
      <c r="E1891" s="5" t="s">
        <v>44</v>
      </c>
      <c r="F1891" s="3" t="s">
        <v>2543</v>
      </c>
      <c r="G1891" s="3" t="str">
        <f>"00253142"</f>
        <v>00253142</v>
      </c>
    </row>
    <row r="1892" spans="1:7" x14ac:dyDescent="0.25">
      <c r="A1892" s="2">
        <v>1891</v>
      </c>
      <c r="B1892" s="3">
        <v>77</v>
      </c>
      <c r="C1892" s="5" t="s">
        <v>2084</v>
      </c>
      <c r="D1892" s="5" t="s">
        <v>2083</v>
      </c>
      <c r="E1892" s="5" t="s">
        <v>284</v>
      </c>
      <c r="F1892" s="3" t="s">
        <v>2085</v>
      </c>
      <c r="G1892" s="3" t="str">
        <f>"00037777"</f>
        <v>00037777</v>
      </c>
    </row>
    <row r="1893" spans="1:7" x14ac:dyDescent="0.25">
      <c r="A1893" s="2">
        <v>1892</v>
      </c>
      <c r="B1893" s="3">
        <v>5042</v>
      </c>
      <c r="C1893" s="5" t="s">
        <v>1640</v>
      </c>
      <c r="D1893" s="5" t="s">
        <v>1639</v>
      </c>
      <c r="E1893" s="5" t="s">
        <v>52</v>
      </c>
      <c r="F1893" s="3" t="s">
        <v>1641</v>
      </c>
      <c r="G1893" s="3" t="str">
        <f>"00968244"</f>
        <v>00968244</v>
      </c>
    </row>
    <row r="1894" spans="1:7" x14ac:dyDescent="0.25">
      <c r="A1894" s="2">
        <v>1893</v>
      </c>
      <c r="B1894" s="3">
        <v>12251</v>
      </c>
      <c r="C1894" s="5" t="s">
        <v>4556</v>
      </c>
      <c r="D1894" s="5" t="s">
        <v>865</v>
      </c>
      <c r="E1894" s="5" t="s">
        <v>11</v>
      </c>
      <c r="F1894" s="3" t="s">
        <v>4557</v>
      </c>
      <c r="G1894" s="3" t="str">
        <f>"00851833"</f>
        <v>00851833</v>
      </c>
    </row>
    <row r="1895" spans="1:7" x14ac:dyDescent="0.25">
      <c r="A1895" s="2">
        <v>1894</v>
      </c>
      <c r="B1895" s="3">
        <v>8406</v>
      </c>
      <c r="C1895" s="5" t="s">
        <v>4589</v>
      </c>
      <c r="D1895" s="5" t="s">
        <v>44</v>
      </c>
      <c r="E1895" s="5" t="s">
        <v>11</v>
      </c>
      <c r="F1895" s="3" t="s">
        <v>4590</v>
      </c>
      <c r="G1895" s="3" t="str">
        <f>"00985989"</f>
        <v>00985989</v>
      </c>
    </row>
    <row r="1896" spans="1:7" x14ac:dyDescent="0.25">
      <c r="A1896" s="2">
        <v>1895</v>
      </c>
      <c r="B1896" s="3">
        <v>6921</v>
      </c>
      <c r="C1896" s="5" t="s">
        <v>1132</v>
      </c>
      <c r="D1896" s="5" t="s">
        <v>1131</v>
      </c>
      <c r="E1896" s="5" t="s">
        <v>44</v>
      </c>
      <c r="F1896" s="3" t="s">
        <v>1133</v>
      </c>
      <c r="G1896" s="3" t="str">
        <f>"00448077"</f>
        <v>00448077</v>
      </c>
    </row>
    <row r="1897" spans="1:7" x14ac:dyDescent="0.25">
      <c r="A1897" s="2">
        <v>1896</v>
      </c>
      <c r="B1897" s="3">
        <v>1468</v>
      </c>
      <c r="C1897" s="5" t="s">
        <v>2714</v>
      </c>
      <c r="D1897" s="5" t="s">
        <v>159</v>
      </c>
      <c r="E1897" s="5" t="s">
        <v>214</v>
      </c>
      <c r="F1897" s="3" t="s">
        <v>2715</v>
      </c>
      <c r="G1897" s="3" t="str">
        <f>"00612954"</f>
        <v>00612954</v>
      </c>
    </row>
    <row r="1898" spans="1:7" x14ac:dyDescent="0.25">
      <c r="A1898" s="2">
        <v>1897</v>
      </c>
      <c r="B1898" s="3">
        <v>11524</v>
      </c>
      <c r="C1898" s="5" t="s">
        <v>2714</v>
      </c>
      <c r="D1898" s="5" t="s">
        <v>159</v>
      </c>
      <c r="E1898" s="5" t="s">
        <v>44</v>
      </c>
      <c r="F1898" s="3" t="s">
        <v>3668</v>
      </c>
      <c r="G1898" s="3" t="str">
        <f>"00115468"</f>
        <v>00115468</v>
      </c>
    </row>
    <row r="1899" spans="1:7" x14ac:dyDescent="0.25">
      <c r="A1899" s="2">
        <v>1898</v>
      </c>
      <c r="B1899" s="3">
        <v>396</v>
      </c>
      <c r="C1899" s="5" t="s">
        <v>2927</v>
      </c>
      <c r="D1899" s="5" t="s">
        <v>207</v>
      </c>
      <c r="E1899" s="5" t="s">
        <v>4892</v>
      </c>
      <c r="F1899" s="3" t="s">
        <v>3861</v>
      </c>
      <c r="G1899" s="3" t="str">
        <f>"201504001681"</f>
        <v>201504001681</v>
      </c>
    </row>
    <row r="1900" spans="1:7" x14ac:dyDescent="0.25">
      <c r="A1900" s="2">
        <v>1899</v>
      </c>
      <c r="B1900" s="3">
        <v>5043</v>
      </c>
      <c r="C1900" s="5" t="s">
        <v>2927</v>
      </c>
      <c r="D1900" s="5" t="s">
        <v>382</v>
      </c>
      <c r="E1900" s="5" t="s">
        <v>284</v>
      </c>
      <c r="F1900" s="3" t="s">
        <v>2928</v>
      </c>
      <c r="G1900" s="3" t="str">
        <f>"00986373"</f>
        <v>00986373</v>
      </c>
    </row>
    <row r="1901" spans="1:7" x14ac:dyDescent="0.25">
      <c r="A1901" s="2">
        <v>1900</v>
      </c>
      <c r="B1901" s="3">
        <v>636</v>
      </c>
      <c r="C1901" s="5" t="s">
        <v>2927</v>
      </c>
      <c r="D1901" s="5" t="s">
        <v>252</v>
      </c>
      <c r="E1901" s="5" t="s">
        <v>32</v>
      </c>
      <c r="F1901" s="3" t="s">
        <v>3054</v>
      </c>
      <c r="G1901" s="3" t="str">
        <f>"00981600"</f>
        <v>00981600</v>
      </c>
    </row>
    <row r="1902" spans="1:7" x14ac:dyDescent="0.25">
      <c r="A1902" s="2">
        <v>1901</v>
      </c>
      <c r="B1902" s="3">
        <v>7375</v>
      </c>
      <c r="C1902" s="5" t="s">
        <v>553</v>
      </c>
      <c r="D1902" s="5" t="s">
        <v>382</v>
      </c>
      <c r="E1902" s="5" t="s">
        <v>102</v>
      </c>
      <c r="F1902" s="3" t="s">
        <v>554</v>
      </c>
      <c r="G1902" s="3" t="str">
        <f>"00724980"</f>
        <v>00724980</v>
      </c>
    </row>
    <row r="1903" spans="1:7" x14ac:dyDescent="0.25">
      <c r="A1903" s="2">
        <v>1902</v>
      </c>
      <c r="B1903" s="3">
        <v>8612</v>
      </c>
      <c r="C1903" s="5" t="s">
        <v>2354</v>
      </c>
      <c r="D1903" s="5" t="s">
        <v>87</v>
      </c>
      <c r="E1903" s="5" t="s">
        <v>252</v>
      </c>
      <c r="F1903" s="3">
        <v>90811</v>
      </c>
      <c r="G1903" s="3" t="str">
        <f>"00983802"</f>
        <v>00983802</v>
      </c>
    </row>
    <row r="1904" spans="1:7" x14ac:dyDescent="0.25">
      <c r="A1904" s="2">
        <v>1903</v>
      </c>
      <c r="B1904" s="3">
        <v>10081</v>
      </c>
      <c r="C1904" s="5" t="s">
        <v>625</v>
      </c>
      <c r="D1904" s="5" t="s">
        <v>123</v>
      </c>
      <c r="E1904" s="5" t="s">
        <v>14</v>
      </c>
      <c r="F1904" s="3" t="s">
        <v>626</v>
      </c>
      <c r="G1904" s="3" t="str">
        <f>"00992864"</f>
        <v>00992864</v>
      </c>
    </row>
    <row r="1905" spans="1:7" x14ac:dyDescent="0.25">
      <c r="A1905" s="2">
        <v>1904</v>
      </c>
      <c r="B1905" s="3">
        <v>5529</v>
      </c>
      <c r="C1905" s="5" t="s">
        <v>966</v>
      </c>
      <c r="D1905" s="5" t="s">
        <v>5</v>
      </c>
      <c r="E1905" s="5" t="s">
        <v>94</v>
      </c>
      <c r="F1905" s="3">
        <v>32727</v>
      </c>
      <c r="G1905" s="3" t="str">
        <f>"201511026056"</f>
        <v>201511026056</v>
      </c>
    </row>
    <row r="1906" spans="1:7" x14ac:dyDescent="0.25">
      <c r="A1906" s="2">
        <v>1905</v>
      </c>
      <c r="B1906" s="3">
        <v>7359</v>
      </c>
      <c r="C1906" s="5" t="s">
        <v>69</v>
      </c>
      <c r="D1906" s="5" t="s">
        <v>24</v>
      </c>
      <c r="E1906" s="5" t="s">
        <v>14</v>
      </c>
      <c r="F1906" s="3">
        <v>89762</v>
      </c>
      <c r="G1906" s="3" t="str">
        <f>"00908051"</f>
        <v>00908051</v>
      </c>
    </row>
    <row r="1907" spans="1:7" x14ac:dyDescent="0.25">
      <c r="A1907" s="2">
        <v>1906</v>
      </c>
      <c r="B1907" s="3">
        <v>5138</v>
      </c>
      <c r="C1907" s="5" t="s">
        <v>3038</v>
      </c>
      <c r="D1907" s="5" t="s">
        <v>1432</v>
      </c>
      <c r="E1907" s="5" t="s">
        <v>5</v>
      </c>
      <c r="F1907" s="3" t="s">
        <v>3039</v>
      </c>
      <c r="G1907" s="3" t="str">
        <f>"00219229"</f>
        <v>00219229</v>
      </c>
    </row>
    <row r="1908" spans="1:7" x14ac:dyDescent="0.25">
      <c r="A1908" s="2">
        <v>1907</v>
      </c>
      <c r="B1908" s="3">
        <v>9294</v>
      </c>
      <c r="C1908" s="5" t="s">
        <v>1907</v>
      </c>
      <c r="D1908" s="5" t="s">
        <v>91</v>
      </c>
      <c r="E1908" s="5" t="s">
        <v>11</v>
      </c>
      <c r="F1908" s="3" t="s">
        <v>1908</v>
      </c>
      <c r="G1908" s="3" t="str">
        <f>"01014068"</f>
        <v>01014068</v>
      </c>
    </row>
    <row r="1909" spans="1:7" x14ac:dyDescent="0.25">
      <c r="A1909" s="2">
        <v>1908</v>
      </c>
      <c r="B1909" s="3">
        <v>3709</v>
      </c>
      <c r="C1909" s="5" t="s">
        <v>1540</v>
      </c>
      <c r="D1909" s="5" t="s">
        <v>87</v>
      </c>
      <c r="E1909" s="5" t="s">
        <v>44</v>
      </c>
      <c r="F1909" s="3">
        <v>1070334</v>
      </c>
      <c r="G1909" s="3" t="str">
        <f>"01011704"</f>
        <v>01011704</v>
      </c>
    </row>
    <row r="1910" spans="1:7" x14ac:dyDescent="0.25">
      <c r="A1910" s="2">
        <v>1909</v>
      </c>
      <c r="B1910" s="3">
        <v>8471</v>
      </c>
      <c r="C1910" s="5" t="s">
        <v>3180</v>
      </c>
      <c r="D1910" s="5" t="s">
        <v>44</v>
      </c>
      <c r="E1910" s="5" t="s">
        <v>32</v>
      </c>
      <c r="F1910" s="3" t="s">
        <v>3181</v>
      </c>
      <c r="G1910" s="3" t="str">
        <f>"00973427"</f>
        <v>00973427</v>
      </c>
    </row>
    <row r="1911" spans="1:7" x14ac:dyDescent="0.25">
      <c r="A1911" s="2">
        <v>1910</v>
      </c>
      <c r="B1911" s="3">
        <v>9885</v>
      </c>
      <c r="C1911" s="5" t="s">
        <v>4217</v>
      </c>
      <c r="D1911" s="5" t="s">
        <v>609</v>
      </c>
      <c r="E1911" s="5" t="s">
        <v>545</v>
      </c>
      <c r="F1911" s="3" t="s">
        <v>4218</v>
      </c>
      <c r="G1911" s="3" t="str">
        <f>"00818385"</f>
        <v>00818385</v>
      </c>
    </row>
    <row r="1912" spans="1:7" x14ac:dyDescent="0.25">
      <c r="A1912" s="2">
        <v>1911</v>
      </c>
      <c r="B1912" s="3">
        <v>5110</v>
      </c>
      <c r="C1912" s="5" t="s">
        <v>806</v>
      </c>
      <c r="D1912" s="5" t="s">
        <v>667</v>
      </c>
      <c r="E1912" s="5" t="s">
        <v>14</v>
      </c>
      <c r="F1912" s="3" t="s">
        <v>3300</v>
      </c>
      <c r="G1912" s="3" t="str">
        <f>"00817799"</f>
        <v>00817799</v>
      </c>
    </row>
    <row r="1913" spans="1:7" x14ac:dyDescent="0.25">
      <c r="A1913" s="2">
        <v>1912</v>
      </c>
      <c r="B1913" s="3">
        <v>10314</v>
      </c>
      <c r="C1913" s="5" t="s">
        <v>806</v>
      </c>
      <c r="D1913" s="5" t="s">
        <v>41</v>
      </c>
      <c r="E1913" s="5" t="s">
        <v>87</v>
      </c>
      <c r="F1913" s="3" t="s">
        <v>807</v>
      </c>
      <c r="G1913" s="3" t="str">
        <f>"01009836"</f>
        <v>01009836</v>
      </c>
    </row>
    <row r="1914" spans="1:7" x14ac:dyDescent="0.25">
      <c r="A1914" s="2">
        <v>1913</v>
      </c>
      <c r="B1914" s="3">
        <v>4724</v>
      </c>
      <c r="C1914" s="5" t="s">
        <v>1254</v>
      </c>
      <c r="D1914" s="5" t="s">
        <v>214</v>
      </c>
      <c r="E1914" s="5" t="s">
        <v>207</v>
      </c>
      <c r="F1914" s="3" t="s">
        <v>1255</v>
      </c>
      <c r="G1914" s="3" t="str">
        <f>"01011915"</f>
        <v>01011915</v>
      </c>
    </row>
    <row r="1915" spans="1:7" x14ac:dyDescent="0.25">
      <c r="A1915" s="2">
        <v>1914</v>
      </c>
      <c r="B1915" s="3">
        <v>12400</v>
      </c>
      <c r="C1915" s="5" t="s">
        <v>4151</v>
      </c>
      <c r="D1915" s="5" t="s">
        <v>4150</v>
      </c>
      <c r="E1915" s="5" t="s">
        <v>622</v>
      </c>
      <c r="F1915" s="3" t="s">
        <v>4152</v>
      </c>
      <c r="G1915" s="3" t="str">
        <f>"01016026"</f>
        <v>01016026</v>
      </c>
    </row>
    <row r="1916" spans="1:7" x14ac:dyDescent="0.25">
      <c r="A1916" s="2">
        <v>1915</v>
      </c>
      <c r="B1916" s="3">
        <v>1904</v>
      </c>
      <c r="C1916" s="5" t="s">
        <v>960</v>
      </c>
      <c r="D1916" s="5" t="s">
        <v>561</v>
      </c>
      <c r="E1916" s="5" t="s">
        <v>11</v>
      </c>
      <c r="F1916" s="3" t="s">
        <v>961</v>
      </c>
      <c r="G1916" s="3" t="str">
        <f>"00901212"</f>
        <v>00901212</v>
      </c>
    </row>
    <row r="1917" spans="1:7" x14ac:dyDescent="0.25">
      <c r="A1917" s="2">
        <v>1916</v>
      </c>
      <c r="B1917" s="3">
        <v>4743</v>
      </c>
      <c r="C1917" s="5" t="s">
        <v>2882</v>
      </c>
      <c r="D1917" s="5" t="s">
        <v>52</v>
      </c>
      <c r="E1917" s="5" t="s">
        <v>5</v>
      </c>
      <c r="F1917" s="3" t="s">
        <v>2883</v>
      </c>
      <c r="G1917" s="3" t="str">
        <f>"00144529"</f>
        <v>00144529</v>
      </c>
    </row>
    <row r="1918" spans="1:7" x14ac:dyDescent="0.25">
      <c r="A1918" s="2">
        <v>1917</v>
      </c>
      <c r="B1918" s="3">
        <v>3955</v>
      </c>
      <c r="C1918" s="5" t="s">
        <v>1922</v>
      </c>
      <c r="D1918" s="5" t="s">
        <v>696</v>
      </c>
      <c r="E1918" s="5" t="s">
        <v>5</v>
      </c>
      <c r="F1918" s="3" t="s">
        <v>1923</v>
      </c>
      <c r="G1918" s="3" t="str">
        <f>"00127522"</f>
        <v>00127522</v>
      </c>
    </row>
    <row r="1919" spans="1:7" x14ac:dyDescent="0.25">
      <c r="A1919" s="2">
        <v>1918</v>
      </c>
      <c r="B1919" s="3">
        <v>686</v>
      </c>
      <c r="C1919" s="5" t="s">
        <v>2244</v>
      </c>
      <c r="D1919" s="5" t="s">
        <v>11</v>
      </c>
      <c r="E1919" s="5" t="s">
        <v>667</v>
      </c>
      <c r="F1919" s="3" t="s">
        <v>2245</v>
      </c>
      <c r="G1919" s="3" t="str">
        <f>"00984874"</f>
        <v>00984874</v>
      </c>
    </row>
    <row r="1920" spans="1:7" x14ac:dyDescent="0.25">
      <c r="A1920" s="2">
        <v>1919</v>
      </c>
      <c r="B1920" s="3">
        <v>11193</v>
      </c>
      <c r="C1920" s="5" t="s">
        <v>1234</v>
      </c>
      <c r="D1920" s="5" t="s">
        <v>667</v>
      </c>
      <c r="E1920" s="5" t="s">
        <v>129</v>
      </c>
      <c r="F1920" s="3">
        <v>711525019</v>
      </c>
      <c r="G1920" s="3" t="str">
        <f>"00846711"</f>
        <v>00846711</v>
      </c>
    </row>
    <row r="1921" spans="1:7" x14ac:dyDescent="0.25">
      <c r="A1921" s="2">
        <v>1920</v>
      </c>
      <c r="B1921" s="3">
        <v>3177</v>
      </c>
      <c r="C1921" s="5" t="s">
        <v>1234</v>
      </c>
      <c r="D1921" s="5" t="s">
        <v>252</v>
      </c>
      <c r="E1921" s="5" t="s">
        <v>129</v>
      </c>
      <c r="F1921" s="3">
        <v>2013668</v>
      </c>
      <c r="G1921" s="3" t="str">
        <f>"00383572"</f>
        <v>00383572</v>
      </c>
    </row>
    <row r="1922" spans="1:7" x14ac:dyDescent="0.25">
      <c r="A1922" s="2">
        <v>1921</v>
      </c>
      <c r="B1922" s="3">
        <v>4038</v>
      </c>
      <c r="C1922" s="5" t="s">
        <v>3514</v>
      </c>
      <c r="D1922" s="5" t="s">
        <v>830</v>
      </c>
      <c r="E1922" s="5" t="s">
        <v>87</v>
      </c>
      <c r="F1922" s="3" t="s">
        <v>3515</v>
      </c>
      <c r="G1922" s="3" t="str">
        <f>"00549143"</f>
        <v>00549143</v>
      </c>
    </row>
    <row r="1923" spans="1:7" x14ac:dyDescent="0.25">
      <c r="A1923" s="2">
        <v>1922</v>
      </c>
      <c r="B1923" s="3">
        <v>5345</v>
      </c>
      <c r="C1923" s="5" t="s">
        <v>3003</v>
      </c>
      <c r="D1923" s="5" t="s">
        <v>91</v>
      </c>
      <c r="E1923" s="5" t="s">
        <v>35</v>
      </c>
      <c r="F1923" s="3" t="s">
        <v>3004</v>
      </c>
      <c r="G1923" s="3" t="str">
        <f>"00889754"</f>
        <v>00889754</v>
      </c>
    </row>
    <row r="1924" spans="1:7" x14ac:dyDescent="0.25">
      <c r="A1924" s="2">
        <v>1923</v>
      </c>
      <c r="B1924" s="3">
        <v>5404</v>
      </c>
      <c r="C1924" s="5" t="s">
        <v>1024</v>
      </c>
      <c r="D1924" s="5" t="s">
        <v>1023</v>
      </c>
      <c r="E1924" s="5" t="s">
        <v>52</v>
      </c>
      <c r="F1924" s="3" t="s">
        <v>1025</v>
      </c>
      <c r="G1924" s="3" t="str">
        <f>"00471821"</f>
        <v>00471821</v>
      </c>
    </row>
    <row r="1925" spans="1:7" x14ac:dyDescent="0.25">
      <c r="A1925" s="2">
        <v>1924</v>
      </c>
      <c r="B1925" s="3">
        <v>559</v>
      </c>
      <c r="C1925" s="5" t="s">
        <v>1364</v>
      </c>
      <c r="D1925" s="5" t="s">
        <v>11</v>
      </c>
      <c r="E1925" s="5" t="s">
        <v>135</v>
      </c>
      <c r="F1925" s="3" t="s">
        <v>1365</v>
      </c>
      <c r="G1925" s="3" t="str">
        <f>"00288367"</f>
        <v>00288367</v>
      </c>
    </row>
    <row r="1926" spans="1:7" x14ac:dyDescent="0.25">
      <c r="A1926" s="2">
        <v>1925</v>
      </c>
      <c r="B1926" s="3">
        <v>7265</v>
      </c>
      <c r="C1926" s="5" t="s">
        <v>4290</v>
      </c>
      <c r="D1926" s="5" t="s">
        <v>4289</v>
      </c>
      <c r="E1926" s="5" t="s">
        <v>87</v>
      </c>
      <c r="F1926" s="3" t="s">
        <v>4291</v>
      </c>
      <c r="G1926" s="3" t="str">
        <f>"00973996"</f>
        <v>00973996</v>
      </c>
    </row>
    <row r="1927" spans="1:7" x14ac:dyDescent="0.25">
      <c r="A1927" s="2">
        <v>1926</v>
      </c>
      <c r="B1927" s="3">
        <v>4404</v>
      </c>
      <c r="C1927" s="5" t="s">
        <v>4068</v>
      </c>
      <c r="D1927" s="5" t="s">
        <v>5</v>
      </c>
      <c r="E1927" s="5" t="s">
        <v>32</v>
      </c>
      <c r="F1927" s="3" t="s">
        <v>4069</v>
      </c>
      <c r="G1927" s="3" t="str">
        <f>"00140331"</f>
        <v>00140331</v>
      </c>
    </row>
    <row r="1928" spans="1:7" x14ac:dyDescent="0.25">
      <c r="A1928" s="2">
        <v>1927</v>
      </c>
      <c r="B1928" s="3">
        <v>3384</v>
      </c>
      <c r="C1928" s="5" t="s">
        <v>298</v>
      </c>
      <c r="D1928" s="5" t="s">
        <v>297</v>
      </c>
      <c r="E1928" s="5" t="s">
        <v>87</v>
      </c>
      <c r="F1928" s="3" t="s">
        <v>299</v>
      </c>
      <c r="G1928" s="3" t="str">
        <f>"201410012193"</f>
        <v>201410012193</v>
      </c>
    </row>
    <row r="1929" spans="1:7" x14ac:dyDescent="0.25">
      <c r="A1929" s="2">
        <v>1928</v>
      </c>
      <c r="B1929" s="3">
        <v>10126</v>
      </c>
      <c r="C1929" s="5" t="s">
        <v>3385</v>
      </c>
      <c r="D1929" s="5" t="s">
        <v>900</v>
      </c>
      <c r="E1929" s="5" t="s">
        <v>5</v>
      </c>
      <c r="F1929" s="3" t="s">
        <v>3386</v>
      </c>
      <c r="G1929" s="3" t="str">
        <f>"00983478"</f>
        <v>00983478</v>
      </c>
    </row>
    <row r="1930" spans="1:7" x14ac:dyDescent="0.25">
      <c r="A1930" s="2">
        <v>1929</v>
      </c>
      <c r="B1930" s="3">
        <v>11818</v>
      </c>
      <c r="C1930" s="5" t="s">
        <v>2146</v>
      </c>
      <c r="D1930" s="5" t="s">
        <v>11</v>
      </c>
      <c r="E1930" s="5" t="s">
        <v>4846</v>
      </c>
      <c r="F1930" s="3" t="s">
        <v>2147</v>
      </c>
      <c r="G1930" s="3" t="str">
        <f>"01011599"</f>
        <v>01011599</v>
      </c>
    </row>
    <row r="1931" spans="1:7" x14ac:dyDescent="0.25">
      <c r="A1931" s="2">
        <v>1930</v>
      </c>
      <c r="B1931" s="3">
        <v>9115</v>
      </c>
      <c r="C1931" s="5" t="s">
        <v>199</v>
      </c>
      <c r="D1931" s="5" t="s">
        <v>198</v>
      </c>
      <c r="E1931" s="5" t="s">
        <v>810</v>
      </c>
      <c r="F1931" s="3" t="s">
        <v>200</v>
      </c>
      <c r="G1931" s="3" t="str">
        <f>"00893029"</f>
        <v>00893029</v>
      </c>
    </row>
    <row r="1932" spans="1:7" x14ac:dyDescent="0.25">
      <c r="A1932" s="2">
        <v>1931</v>
      </c>
      <c r="B1932" s="3">
        <v>4419</v>
      </c>
      <c r="C1932" s="5" t="s">
        <v>2999</v>
      </c>
      <c r="D1932" s="5" t="s">
        <v>2998</v>
      </c>
      <c r="E1932" s="5" t="s">
        <v>810</v>
      </c>
      <c r="F1932" s="3" t="s">
        <v>3000</v>
      </c>
      <c r="G1932" s="3" t="str">
        <f>"00844956"</f>
        <v>00844956</v>
      </c>
    </row>
    <row r="1933" spans="1:7" x14ac:dyDescent="0.25">
      <c r="A1933" s="2">
        <v>1932</v>
      </c>
      <c r="B1933" s="3">
        <v>9556</v>
      </c>
      <c r="C1933" s="5" t="s">
        <v>127</v>
      </c>
      <c r="D1933" s="5" t="s">
        <v>126</v>
      </c>
      <c r="E1933" s="5" t="s">
        <v>632</v>
      </c>
      <c r="F1933" s="3" t="s">
        <v>128</v>
      </c>
      <c r="G1933" s="3" t="str">
        <f>"00119363"</f>
        <v>00119363</v>
      </c>
    </row>
    <row r="1934" spans="1:7" x14ac:dyDescent="0.25">
      <c r="A1934" s="2">
        <v>1933</v>
      </c>
      <c r="B1934" s="3">
        <v>9042</v>
      </c>
      <c r="C1934" s="5" t="s">
        <v>4125</v>
      </c>
      <c r="D1934" s="5" t="s">
        <v>70</v>
      </c>
      <c r="E1934" s="5" t="s">
        <v>44</v>
      </c>
      <c r="F1934" s="3" t="s">
        <v>4126</v>
      </c>
      <c r="G1934" s="3" t="str">
        <f>"00932959"</f>
        <v>00932959</v>
      </c>
    </row>
    <row r="1935" spans="1:7" x14ac:dyDescent="0.25">
      <c r="A1935" s="2">
        <v>1934</v>
      </c>
      <c r="B1935" s="3">
        <v>12051</v>
      </c>
      <c r="C1935" s="5" t="s">
        <v>2570</v>
      </c>
      <c r="D1935" s="5" t="s">
        <v>2569</v>
      </c>
      <c r="E1935" s="5" t="s">
        <v>102</v>
      </c>
      <c r="F1935" s="3" t="s">
        <v>2571</v>
      </c>
      <c r="G1935" s="3" t="str">
        <f>"201507002727"</f>
        <v>201507002727</v>
      </c>
    </row>
    <row r="1936" spans="1:7" x14ac:dyDescent="0.25">
      <c r="A1936" s="2">
        <v>1935</v>
      </c>
      <c r="B1936" s="3">
        <v>7623</v>
      </c>
      <c r="C1936" s="5" t="s">
        <v>2906</v>
      </c>
      <c r="D1936" s="5" t="s">
        <v>94</v>
      </c>
      <c r="E1936" s="5" t="s">
        <v>2659</v>
      </c>
      <c r="F1936" s="3" t="s">
        <v>2907</v>
      </c>
      <c r="G1936" s="3" t="str">
        <f>"01013876"</f>
        <v>01013876</v>
      </c>
    </row>
    <row r="1937" spans="1:7" x14ac:dyDescent="0.25">
      <c r="A1937" s="2">
        <v>1936</v>
      </c>
      <c r="B1937" s="3">
        <v>4019</v>
      </c>
      <c r="C1937" s="5" t="s">
        <v>1486</v>
      </c>
      <c r="D1937" s="5" t="s">
        <v>1199</v>
      </c>
      <c r="E1937" s="5" t="s">
        <v>44</v>
      </c>
      <c r="F1937" s="3" t="s">
        <v>1487</v>
      </c>
      <c r="G1937" s="3" t="str">
        <f>"00745297"</f>
        <v>00745297</v>
      </c>
    </row>
    <row r="1938" spans="1:7" x14ac:dyDescent="0.25">
      <c r="A1938" s="2">
        <v>1937</v>
      </c>
      <c r="B1938" s="3">
        <v>4252</v>
      </c>
      <c r="C1938" s="5" t="s">
        <v>2650</v>
      </c>
      <c r="D1938" s="5" t="s">
        <v>84</v>
      </c>
      <c r="E1938" s="5" t="s">
        <v>14</v>
      </c>
      <c r="F1938" s="3" t="s">
        <v>2651</v>
      </c>
      <c r="G1938" s="3" t="str">
        <f>"00987189"</f>
        <v>00987189</v>
      </c>
    </row>
    <row r="1939" spans="1:7" x14ac:dyDescent="0.25">
      <c r="A1939" s="2">
        <v>1938</v>
      </c>
      <c r="B1939" s="3">
        <v>5788</v>
      </c>
      <c r="C1939" s="5" t="s">
        <v>1801</v>
      </c>
      <c r="D1939" s="5" t="s">
        <v>667</v>
      </c>
      <c r="E1939" s="5" t="s">
        <v>4564</v>
      </c>
      <c r="F1939" s="3" t="s">
        <v>1802</v>
      </c>
      <c r="G1939" s="3" t="str">
        <f>"01015851"</f>
        <v>01015851</v>
      </c>
    </row>
    <row r="1940" spans="1:7" x14ac:dyDescent="0.25">
      <c r="A1940" s="2">
        <v>1939</v>
      </c>
      <c r="B1940" s="3">
        <v>10173</v>
      </c>
      <c r="C1940" s="5" t="s">
        <v>2708</v>
      </c>
      <c r="D1940" s="5" t="s">
        <v>24</v>
      </c>
      <c r="E1940" s="5" t="s">
        <v>87</v>
      </c>
      <c r="F1940" s="3" t="s">
        <v>2709</v>
      </c>
      <c r="G1940" s="3" t="str">
        <f>"00438078"</f>
        <v>00438078</v>
      </c>
    </row>
    <row r="1941" spans="1:7" x14ac:dyDescent="0.25">
      <c r="A1941" s="2">
        <v>1940</v>
      </c>
      <c r="B1941" s="3">
        <v>4448</v>
      </c>
      <c r="C1941" s="5" t="s">
        <v>380</v>
      </c>
      <c r="D1941" s="5" t="s">
        <v>87</v>
      </c>
      <c r="E1941" s="5" t="s">
        <v>94</v>
      </c>
      <c r="F1941" s="3" t="s">
        <v>381</v>
      </c>
      <c r="G1941" s="3" t="str">
        <f>"01012412"</f>
        <v>01012412</v>
      </c>
    </row>
    <row r="1942" spans="1:7" x14ac:dyDescent="0.25">
      <c r="A1942" s="2">
        <v>1941</v>
      </c>
      <c r="B1942" s="3">
        <v>7306</v>
      </c>
      <c r="C1942" s="5" t="s">
        <v>1854</v>
      </c>
      <c r="D1942" s="5" t="s">
        <v>382</v>
      </c>
      <c r="E1942" s="5" t="s">
        <v>844</v>
      </c>
      <c r="F1942" s="3" t="s">
        <v>1855</v>
      </c>
      <c r="G1942" s="3" t="str">
        <f>"01003139"</f>
        <v>01003139</v>
      </c>
    </row>
    <row r="1943" spans="1:7" x14ac:dyDescent="0.25">
      <c r="A1943" s="2">
        <v>1942</v>
      </c>
      <c r="B1943" s="3">
        <v>4670</v>
      </c>
      <c r="C1943" s="5" t="s">
        <v>3243</v>
      </c>
      <c r="D1943" s="5" t="s">
        <v>44</v>
      </c>
      <c r="E1943" s="5" t="s">
        <v>52</v>
      </c>
      <c r="F1943" s="3" t="s">
        <v>3244</v>
      </c>
      <c r="G1943" s="3" t="str">
        <f>"01009466"</f>
        <v>01009466</v>
      </c>
    </row>
    <row r="1944" spans="1:7" x14ac:dyDescent="0.25">
      <c r="A1944" s="2">
        <v>1943</v>
      </c>
      <c r="B1944" s="3">
        <v>3300</v>
      </c>
      <c r="C1944" s="5" t="s">
        <v>3243</v>
      </c>
      <c r="D1944" s="5" t="s">
        <v>1023</v>
      </c>
      <c r="E1944" s="5" t="s">
        <v>810</v>
      </c>
      <c r="F1944" s="3">
        <v>2015345</v>
      </c>
      <c r="G1944" s="3" t="str">
        <f>"00448489"</f>
        <v>00448489</v>
      </c>
    </row>
    <row r="1945" spans="1:7" x14ac:dyDescent="0.25">
      <c r="A1945" s="2">
        <v>1944</v>
      </c>
      <c r="B1945" s="3">
        <v>10181</v>
      </c>
      <c r="C1945" s="5" t="s">
        <v>2692</v>
      </c>
      <c r="D1945" s="5" t="s">
        <v>2204</v>
      </c>
      <c r="E1945" s="5" t="s">
        <v>4862</v>
      </c>
      <c r="F1945" s="3" t="s">
        <v>2693</v>
      </c>
      <c r="G1945" s="3" t="str">
        <f>"00144352"</f>
        <v>00144352</v>
      </c>
    </row>
    <row r="1946" spans="1:7" x14ac:dyDescent="0.25">
      <c r="A1946" s="2">
        <v>1945</v>
      </c>
      <c r="B1946" s="3">
        <v>9815</v>
      </c>
      <c r="C1946" s="5" t="s">
        <v>1153</v>
      </c>
      <c r="D1946" s="5" t="s">
        <v>1152</v>
      </c>
      <c r="E1946" s="5" t="s">
        <v>545</v>
      </c>
      <c r="F1946" s="3" t="s">
        <v>1154</v>
      </c>
      <c r="G1946" s="3" t="str">
        <f>"00776543"</f>
        <v>00776543</v>
      </c>
    </row>
    <row r="1947" spans="1:7" x14ac:dyDescent="0.25">
      <c r="A1947" s="2">
        <v>1946</v>
      </c>
      <c r="B1947" s="3">
        <v>5332</v>
      </c>
      <c r="C1947" s="5" t="s">
        <v>2893</v>
      </c>
      <c r="D1947" s="5" t="s">
        <v>24</v>
      </c>
      <c r="E1947" s="5" t="s">
        <v>87</v>
      </c>
      <c r="F1947" s="3" t="s">
        <v>2894</v>
      </c>
      <c r="G1947" s="3" t="str">
        <f>"00210166"</f>
        <v>00210166</v>
      </c>
    </row>
    <row r="1948" spans="1:7" x14ac:dyDescent="0.25">
      <c r="A1948" s="2">
        <v>1947</v>
      </c>
      <c r="B1948" s="3">
        <v>9427</v>
      </c>
      <c r="C1948" s="5" t="s">
        <v>3426</v>
      </c>
      <c r="D1948" s="5" t="s">
        <v>159</v>
      </c>
      <c r="E1948" s="5" t="s">
        <v>4392</v>
      </c>
      <c r="F1948" s="3" t="s">
        <v>3427</v>
      </c>
      <c r="G1948" s="3" t="str">
        <f>"00921461"</f>
        <v>00921461</v>
      </c>
    </row>
    <row r="1949" spans="1:7" x14ac:dyDescent="0.25">
      <c r="A1949" s="2">
        <v>1948</v>
      </c>
      <c r="B1949" s="3">
        <v>8241</v>
      </c>
      <c r="C1949" s="5" t="s">
        <v>3373</v>
      </c>
      <c r="D1949" s="5" t="s">
        <v>24</v>
      </c>
      <c r="E1949" s="5" t="s">
        <v>44</v>
      </c>
      <c r="F1949" s="3" t="s">
        <v>3374</v>
      </c>
      <c r="G1949" s="3" t="str">
        <f>"01016369"</f>
        <v>01016369</v>
      </c>
    </row>
    <row r="1950" spans="1:7" x14ac:dyDescent="0.25">
      <c r="A1950" s="2">
        <v>1949</v>
      </c>
      <c r="B1950" s="3">
        <v>2228</v>
      </c>
      <c r="C1950" s="5" t="s">
        <v>3872</v>
      </c>
      <c r="D1950" s="5" t="s">
        <v>3871</v>
      </c>
      <c r="E1950" s="5" t="s">
        <v>11</v>
      </c>
      <c r="F1950" s="3" t="s">
        <v>3873</v>
      </c>
      <c r="G1950" s="3" t="str">
        <f>"00717519"</f>
        <v>00717519</v>
      </c>
    </row>
    <row r="1951" spans="1:7" x14ac:dyDescent="0.25">
      <c r="A1951" s="2">
        <v>1950</v>
      </c>
      <c r="B1951" s="3">
        <v>872</v>
      </c>
      <c r="C1951" s="5" t="s">
        <v>2593</v>
      </c>
      <c r="D1951" s="5" t="s">
        <v>2592</v>
      </c>
      <c r="E1951" s="5" t="s">
        <v>107</v>
      </c>
      <c r="F1951" s="3" t="s">
        <v>2594</v>
      </c>
      <c r="G1951" s="3" t="str">
        <f>"00992512"</f>
        <v>00992512</v>
      </c>
    </row>
    <row r="1952" spans="1:7" x14ac:dyDescent="0.25">
      <c r="A1952" s="2">
        <v>1951</v>
      </c>
      <c r="B1952" s="3">
        <v>1359</v>
      </c>
      <c r="C1952" s="5" t="s">
        <v>1679</v>
      </c>
      <c r="D1952" s="5" t="s">
        <v>52</v>
      </c>
      <c r="E1952" s="5" t="s">
        <v>32</v>
      </c>
      <c r="F1952" s="3" t="s">
        <v>1680</v>
      </c>
      <c r="G1952" s="3" t="str">
        <f>"01016478"</f>
        <v>01016478</v>
      </c>
    </row>
    <row r="1953" spans="1:7" x14ac:dyDescent="0.25">
      <c r="A1953" s="2">
        <v>1952</v>
      </c>
      <c r="B1953" s="3">
        <v>1808</v>
      </c>
      <c r="C1953" s="5" t="s">
        <v>1445</v>
      </c>
      <c r="D1953" s="5" t="s">
        <v>5</v>
      </c>
      <c r="E1953" s="5" t="s">
        <v>14</v>
      </c>
      <c r="F1953" s="3" t="s">
        <v>1446</v>
      </c>
      <c r="G1953" s="3" t="str">
        <f>"01015434"</f>
        <v>01015434</v>
      </c>
    </row>
    <row r="1954" spans="1:7" x14ac:dyDescent="0.25">
      <c r="A1954" s="2">
        <v>1953</v>
      </c>
      <c r="B1954" s="3">
        <v>12657</v>
      </c>
      <c r="C1954" s="5" t="s">
        <v>4397</v>
      </c>
      <c r="D1954" s="5" t="s">
        <v>129</v>
      </c>
      <c r="E1954" s="5" t="s">
        <v>14</v>
      </c>
      <c r="F1954" s="3" t="s">
        <v>4398</v>
      </c>
      <c r="G1954" s="3" t="str">
        <f>"00273589"</f>
        <v>00273589</v>
      </c>
    </row>
    <row r="1955" spans="1:7" x14ac:dyDescent="0.25">
      <c r="A1955" s="2">
        <v>1954</v>
      </c>
      <c r="B1955" s="3">
        <v>7139</v>
      </c>
      <c r="C1955" s="5" t="s">
        <v>3629</v>
      </c>
      <c r="D1955" s="5" t="s">
        <v>1392</v>
      </c>
      <c r="E1955" s="5" t="s">
        <v>41</v>
      </c>
      <c r="F1955" s="3" t="s">
        <v>3630</v>
      </c>
      <c r="G1955" s="3" t="str">
        <f>"201511034715"</f>
        <v>201511034715</v>
      </c>
    </row>
    <row r="1956" spans="1:7" x14ac:dyDescent="0.25">
      <c r="A1956" s="2">
        <v>1955</v>
      </c>
      <c r="B1956" s="3">
        <v>11598</v>
      </c>
      <c r="C1956" s="5" t="s">
        <v>3316</v>
      </c>
      <c r="D1956" s="5" t="s">
        <v>3315</v>
      </c>
      <c r="E1956" s="5" t="s">
        <v>1318</v>
      </c>
      <c r="F1956" s="3" t="s">
        <v>3317</v>
      </c>
      <c r="G1956" s="3" t="str">
        <f>"00969145"</f>
        <v>00969145</v>
      </c>
    </row>
    <row r="1957" spans="1:7" x14ac:dyDescent="0.25">
      <c r="A1957" s="2">
        <v>1956</v>
      </c>
      <c r="B1957" s="3">
        <v>2385</v>
      </c>
      <c r="C1957" s="5" t="s">
        <v>3950</v>
      </c>
      <c r="D1957" s="5" t="s">
        <v>1023</v>
      </c>
      <c r="E1957" s="5" t="s">
        <v>667</v>
      </c>
      <c r="F1957" s="3" t="s">
        <v>3951</v>
      </c>
      <c r="G1957" s="3" t="str">
        <f>"00981679"</f>
        <v>00981679</v>
      </c>
    </row>
    <row r="1958" spans="1:7" x14ac:dyDescent="0.25">
      <c r="A1958" s="2">
        <v>1957</v>
      </c>
      <c r="B1958" s="3">
        <v>4061</v>
      </c>
      <c r="C1958" s="5" t="s">
        <v>1055</v>
      </c>
      <c r="D1958" s="5" t="s">
        <v>38</v>
      </c>
      <c r="E1958" s="5" t="s">
        <v>5</v>
      </c>
      <c r="F1958" s="3" t="s">
        <v>1056</v>
      </c>
      <c r="G1958" s="3" t="str">
        <f>"00046903"</f>
        <v>00046903</v>
      </c>
    </row>
    <row r="1959" spans="1:7" x14ac:dyDescent="0.25">
      <c r="A1959" s="2">
        <v>1958</v>
      </c>
      <c r="B1959" s="3">
        <v>12543</v>
      </c>
      <c r="C1959" s="5" t="s">
        <v>4619</v>
      </c>
      <c r="D1959" s="5" t="s">
        <v>159</v>
      </c>
      <c r="E1959" s="5" t="s">
        <v>52</v>
      </c>
      <c r="F1959" s="3" t="s">
        <v>4620</v>
      </c>
      <c r="G1959" s="3" t="str">
        <f>"00983041"</f>
        <v>00983041</v>
      </c>
    </row>
    <row r="1960" spans="1:7" x14ac:dyDescent="0.25">
      <c r="A1960" s="2">
        <v>1959</v>
      </c>
      <c r="B1960" s="3">
        <v>9968</v>
      </c>
      <c r="C1960" s="5" t="s">
        <v>931</v>
      </c>
      <c r="D1960" s="5" t="s">
        <v>66</v>
      </c>
      <c r="E1960" s="5" t="s">
        <v>14</v>
      </c>
      <c r="F1960" s="3" t="s">
        <v>932</v>
      </c>
      <c r="G1960" s="3" t="str">
        <f>"00381736"</f>
        <v>00381736</v>
      </c>
    </row>
    <row r="1961" spans="1:7" x14ac:dyDescent="0.25">
      <c r="A1961" s="2">
        <v>1960</v>
      </c>
      <c r="B1961" s="3">
        <v>885</v>
      </c>
      <c r="C1961" s="5" t="s">
        <v>2063</v>
      </c>
      <c r="D1961" s="5" t="s">
        <v>87</v>
      </c>
      <c r="E1961" s="5" t="s">
        <v>52</v>
      </c>
      <c r="F1961" s="3" t="s">
        <v>3797</v>
      </c>
      <c r="G1961" s="3" t="str">
        <f>"00153475"</f>
        <v>00153475</v>
      </c>
    </row>
    <row r="1962" spans="1:7" x14ac:dyDescent="0.25">
      <c r="A1962" s="2">
        <v>1961</v>
      </c>
      <c r="B1962" s="3">
        <v>5157</v>
      </c>
      <c r="C1962" s="5" t="s">
        <v>2063</v>
      </c>
      <c r="D1962" s="5" t="s">
        <v>5</v>
      </c>
      <c r="E1962" s="5" t="s">
        <v>44</v>
      </c>
      <c r="F1962" s="3" t="s">
        <v>2064</v>
      </c>
      <c r="G1962" s="3" t="str">
        <f>"00911386"</f>
        <v>00911386</v>
      </c>
    </row>
    <row r="1963" spans="1:7" x14ac:dyDescent="0.25">
      <c r="A1963" s="2">
        <v>1962</v>
      </c>
      <c r="B1963" s="3">
        <v>3372</v>
      </c>
      <c r="C1963" s="5" t="s">
        <v>2557</v>
      </c>
      <c r="D1963" s="5" t="s">
        <v>555</v>
      </c>
      <c r="E1963" s="5" t="s">
        <v>52</v>
      </c>
      <c r="F1963" s="3" t="s">
        <v>2558</v>
      </c>
      <c r="G1963" s="3" t="str">
        <f>"01015963"</f>
        <v>01015963</v>
      </c>
    </row>
    <row r="1964" spans="1:7" x14ac:dyDescent="0.25">
      <c r="A1964" s="2">
        <v>1963</v>
      </c>
      <c r="B1964" s="3">
        <v>11174</v>
      </c>
      <c r="C1964" s="5" t="s">
        <v>2588</v>
      </c>
      <c r="D1964" s="5" t="s">
        <v>44</v>
      </c>
      <c r="E1964" s="5" t="s">
        <v>129</v>
      </c>
      <c r="F1964" s="3" t="s">
        <v>3569</v>
      </c>
      <c r="G1964" s="3" t="str">
        <f>"00981046"</f>
        <v>00981046</v>
      </c>
    </row>
    <row r="1965" spans="1:7" x14ac:dyDescent="0.25">
      <c r="A1965" s="2">
        <v>1964</v>
      </c>
      <c r="B1965" s="3">
        <v>11027</v>
      </c>
      <c r="C1965" s="5" t="s">
        <v>2588</v>
      </c>
      <c r="D1965" s="5" t="s">
        <v>63</v>
      </c>
      <c r="E1965" s="5" t="s">
        <v>44</v>
      </c>
      <c r="F1965" s="3" t="s">
        <v>2589</v>
      </c>
      <c r="G1965" s="3" t="str">
        <f>"00793325"</f>
        <v>00793325</v>
      </c>
    </row>
    <row r="1966" spans="1:7" x14ac:dyDescent="0.25">
      <c r="A1966" s="2">
        <v>1965</v>
      </c>
      <c r="B1966" s="3">
        <v>11165</v>
      </c>
      <c r="C1966" s="5" t="s">
        <v>742</v>
      </c>
      <c r="D1966" s="5" t="s">
        <v>284</v>
      </c>
      <c r="E1966" s="5" t="s">
        <v>632</v>
      </c>
      <c r="F1966" s="3" t="s">
        <v>743</v>
      </c>
      <c r="G1966" s="3" t="str">
        <f>"00989543"</f>
        <v>00989543</v>
      </c>
    </row>
    <row r="1967" spans="1:7" x14ac:dyDescent="0.25">
      <c r="A1967" s="2">
        <v>1966</v>
      </c>
      <c r="B1967" s="3">
        <v>2134</v>
      </c>
      <c r="C1967" s="5" t="s">
        <v>3710</v>
      </c>
      <c r="D1967" s="5" t="s">
        <v>5</v>
      </c>
      <c r="E1967" s="5" t="s">
        <v>11</v>
      </c>
      <c r="F1967" s="3" t="s">
        <v>3711</v>
      </c>
      <c r="G1967" s="3" t="str">
        <f>"00981825"</f>
        <v>00981825</v>
      </c>
    </row>
    <row r="1968" spans="1:7" x14ac:dyDescent="0.25">
      <c r="A1968" s="2">
        <v>1967</v>
      </c>
      <c r="B1968" s="3">
        <v>1192</v>
      </c>
      <c r="C1968" s="5" t="s">
        <v>3645</v>
      </c>
      <c r="D1968" s="5" t="s">
        <v>198</v>
      </c>
      <c r="E1968" s="5" t="s">
        <v>214</v>
      </c>
      <c r="F1968" s="3" t="s">
        <v>3646</v>
      </c>
      <c r="G1968" s="3" t="str">
        <f>"00993556"</f>
        <v>00993556</v>
      </c>
    </row>
    <row r="1969" spans="1:7" x14ac:dyDescent="0.25">
      <c r="A1969" s="2">
        <v>1968</v>
      </c>
      <c r="B1969" s="3">
        <v>8656</v>
      </c>
      <c r="C1969" s="5" t="s">
        <v>3455</v>
      </c>
      <c r="D1969" s="5" t="s">
        <v>44</v>
      </c>
      <c r="E1969" s="5" t="s">
        <v>94</v>
      </c>
      <c r="F1969" s="3" t="s">
        <v>3456</v>
      </c>
      <c r="G1969" s="3" t="str">
        <f>"00551419"</f>
        <v>00551419</v>
      </c>
    </row>
    <row r="1970" spans="1:7" x14ac:dyDescent="0.25">
      <c r="A1970" s="2">
        <v>1969</v>
      </c>
      <c r="B1970" s="3">
        <v>9618</v>
      </c>
      <c r="C1970" s="5" t="s">
        <v>1692</v>
      </c>
      <c r="D1970" s="5" t="s">
        <v>66</v>
      </c>
      <c r="E1970" s="5" t="s">
        <v>951</v>
      </c>
      <c r="F1970" s="3" t="s">
        <v>1693</v>
      </c>
      <c r="G1970" s="3" t="str">
        <f>"00501329"</f>
        <v>00501329</v>
      </c>
    </row>
    <row r="1971" spans="1:7" x14ac:dyDescent="0.25">
      <c r="A1971" s="2">
        <v>1970</v>
      </c>
      <c r="B1971" s="3">
        <v>6078</v>
      </c>
      <c r="C1971" s="5" t="s">
        <v>4305</v>
      </c>
      <c r="D1971" s="5" t="s">
        <v>4304</v>
      </c>
      <c r="E1971" s="5" t="s">
        <v>87</v>
      </c>
      <c r="F1971" s="3" t="s">
        <v>4306</v>
      </c>
      <c r="G1971" s="3" t="str">
        <f>"00395420"</f>
        <v>00395420</v>
      </c>
    </row>
    <row r="1972" spans="1:7" x14ac:dyDescent="0.25">
      <c r="A1972" s="2">
        <v>1971</v>
      </c>
      <c r="B1972" s="3">
        <v>10829</v>
      </c>
      <c r="C1972" s="5" t="s">
        <v>1208</v>
      </c>
      <c r="D1972" s="5" t="s">
        <v>1207</v>
      </c>
      <c r="E1972" s="5" t="s">
        <v>1172</v>
      </c>
      <c r="F1972" s="3">
        <v>710684013</v>
      </c>
      <c r="G1972" s="3" t="str">
        <f>"00453153"</f>
        <v>00453153</v>
      </c>
    </row>
    <row r="1973" spans="1:7" x14ac:dyDescent="0.25">
      <c r="A1973" s="2">
        <v>1972</v>
      </c>
      <c r="B1973" s="3">
        <v>11225</v>
      </c>
      <c r="C1973" s="5" t="s">
        <v>3313</v>
      </c>
      <c r="D1973" s="5" t="s">
        <v>126</v>
      </c>
      <c r="E1973" s="5" t="s">
        <v>87</v>
      </c>
      <c r="F1973" s="3" t="s">
        <v>3314</v>
      </c>
      <c r="G1973" s="3" t="str">
        <f>"201511009278"</f>
        <v>201511009278</v>
      </c>
    </row>
    <row r="1974" spans="1:7" x14ac:dyDescent="0.25">
      <c r="A1974" s="2">
        <v>1973</v>
      </c>
      <c r="B1974" s="3">
        <v>9490</v>
      </c>
      <c r="C1974" s="5" t="s">
        <v>801</v>
      </c>
      <c r="D1974" s="5" t="s">
        <v>11</v>
      </c>
      <c r="E1974" s="5" t="s">
        <v>5</v>
      </c>
      <c r="F1974" s="3" t="s">
        <v>802</v>
      </c>
      <c r="G1974" s="3" t="str">
        <f>"01012308"</f>
        <v>01012308</v>
      </c>
    </row>
    <row r="1975" spans="1:7" x14ac:dyDescent="0.25">
      <c r="A1975" s="2">
        <v>1974</v>
      </c>
      <c r="B1975" s="3">
        <v>11719</v>
      </c>
      <c r="C1975" s="5" t="s">
        <v>1290</v>
      </c>
      <c r="D1975" s="5" t="s">
        <v>1199</v>
      </c>
      <c r="E1975" s="5" t="s">
        <v>375</v>
      </c>
      <c r="F1975" s="3" t="s">
        <v>1291</v>
      </c>
      <c r="G1975" s="3" t="str">
        <f>"01009136"</f>
        <v>01009136</v>
      </c>
    </row>
    <row r="1976" spans="1:7" x14ac:dyDescent="0.25">
      <c r="A1976" s="2">
        <v>1975</v>
      </c>
      <c r="B1976" s="3">
        <v>1231</v>
      </c>
      <c r="C1976" s="5" t="s">
        <v>3888</v>
      </c>
      <c r="D1976" s="5" t="s">
        <v>32</v>
      </c>
      <c r="E1976" s="5" t="s">
        <v>87</v>
      </c>
      <c r="F1976" s="3" t="s">
        <v>3889</v>
      </c>
      <c r="G1976" s="3" t="str">
        <f>"00475600"</f>
        <v>00475600</v>
      </c>
    </row>
    <row r="1977" spans="1:7" x14ac:dyDescent="0.25">
      <c r="A1977" s="2">
        <v>1976</v>
      </c>
      <c r="B1977" s="3">
        <v>10344</v>
      </c>
      <c r="C1977" s="5" t="s">
        <v>4311</v>
      </c>
      <c r="D1977" s="5" t="s">
        <v>129</v>
      </c>
      <c r="E1977" s="5" t="s">
        <v>32</v>
      </c>
      <c r="F1977" s="3" t="s">
        <v>4312</v>
      </c>
      <c r="G1977" s="3" t="str">
        <f>"00986731"</f>
        <v>00986731</v>
      </c>
    </row>
    <row r="1978" spans="1:7" x14ac:dyDescent="0.25">
      <c r="A1978" s="2">
        <v>1977</v>
      </c>
      <c r="B1978" s="3">
        <v>1091</v>
      </c>
      <c r="C1978" s="5" t="s">
        <v>4169</v>
      </c>
      <c r="D1978" s="5" t="s">
        <v>113</v>
      </c>
      <c r="E1978" s="5" t="s">
        <v>11</v>
      </c>
      <c r="F1978" s="3" t="s">
        <v>4170</v>
      </c>
      <c r="G1978" s="3" t="str">
        <f>"00016985"</f>
        <v>00016985</v>
      </c>
    </row>
    <row r="1979" spans="1:7" x14ac:dyDescent="0.25">
      <c r="A1979" s="2">
        <v>1978</v>
      </c>
      <c r="B1979" s="3">
        <v>10871</v>
      </c>
      <c r="C1979" s="5" t="s">
        <v>4571</v>
      </c>
      <c r="D1979" s="5" t="s">
        <v>52</v>
      </c>
      <c r="E1979" s="5" t="s">
        <v>2406</v>
      </c>
      <c r="F1979" s="3" t="s">
        <v>4572</v>
      </c>
      <c r="G1979" s="3" t="str">
        <f>"01012657"</f>
        <v>01012657</v>
      </c>
    </row>
    <row r="1980" spans="1:7" x14ac:dyDescent="0.25">
      <c r="A1980" s="2">
        <v>1979</v>
      </c>
      <c r="B1980" s="3">
        <v>11908</v>
      </c>
      <c r="C1980" s="5" t="s">
        <v>3012</v>
      </c>
      <c r="D1980" s="5" t="s">
        <v>107</v>
      </c>
      <c r="E1980" s="5" t="s">
        <v>32</v>
      </c>
      <c r="F1980" s="3" t="s">
        <v>3013</v>
      </c>
      <c r="G1980" s="3" t="str">
        <f>"01016593"</f>
        <v>01016593</v>
      </c>
    </row>
    <row r="1981" spans="1:7" x14ac:dyDescent="0.25">
      <c r="A1981" s="2">
        <v>1980</v>
      </c>
      <c r="B1981" s="3">
        <v>4697</v>
      </c>
      <c r="C1981" s="5" t="s">
        <v>1510</v>
      </c>
      <c r="D1981" s="5" t="s">
        <v>1509</v>
      </c>
      <c r="E1981" s="5" t="s">
        <v>4824</v>
      </c>
      <c r="F1981" s="3" t="s">
        <v>1511</v>
      </c>
      <c r="G1981" s="3" t="str">
        <f>"201402009359"</f>
        <v>201402009359</v>
      </c>
    </row>
    <row r="1982" spans="1:7" x14ac:dyDescent="0.25">
      <c r="A1982" s="2">
        <v>1981</v>
      </c>
      <c r="B1982" s="3">
        <v>5266</v>
      </c>
      <c r="C1982" s="5" t="s">
        <v>4324</v>
      </c>
      <c r="D1982" s="5" t="s">
        <v>84</v>
      </c>
      <c r="E1982" s="5" t="s">
        <v>667</v>
      </c>
      <c r="F1982" s="3" t="s">
        <v>4325</v>
      </c>
      <c r="G1982" s="3" t="str">
        <f>"00525931"</f>
        <v>00525931</v>
      </c>
    </row>
    <row r="1983" spans="1:7" x14ac:dyDescent="0.25">
      <c r="A1983" s="2">
        <v>1982</v>
      </c>
      <c r="B1983" s="3">
        <v>1463</v>
      </c>
      <c r="C1983" s="5" t="s">
        <v>2577</v>
      </c>
      <c r="D1983" s="5" t="s">
        <v>2576</v>
      </c>
      <c r="E1983" s="5" t="s">
        <v>32</v>
      </c>
      <c r="F1983" s="3" t="s">
        <v>2578</v>
      </c>
      <c r="G1983" s="3" t="str">
        <f>"01007970"</f>
        <v>01007970</v>
      </c>
    </row>
    <row r="1984" spans="1:7" x14ac:dyDescent="0.25">
      <c r="A1984" s="2">
        <v>1983</v>
      </c>
      <c r="B1984" s="3">
        <v>9579</v>
      </c>
      <c r="C1984" s="5" t="s">
        <v>3815</v>
      </c>
      <c r="D1984" s="5" t="s">
        <v>87</v>
      </c>
      <c r="E1984" s="5" t="s">
        <v>545</v>
      </c>
      <c r="F1984" s="3" t="s">
        <v>3816</v>
      </c>
      <c r="G1984" s="3" t="str">
        <f>"00323620"</f>
        <v>00323620</v>
      </c>
    </row>
    <row r="1985" spans="1:7" x14ac:dyDescent="0.25">
      <c r="A1985" s="2">
        <v>1984</v>
      </c>
      <c r="B1985" s="3">
        <v>2209</v>
      </c>
      <c r="C1985" s="5" t="s">
        <v>3744</v>
      </c>
      <c r="D1985" s="5" t="s">
        <v>3743</v>
      </c>
      <c r="E1985" s="5" t="s">
        <v>14</v>
      </c>
      <c r="F1985" s="3" t="s">
        <v>3745</v>
      </c>
      <c r="G1985" s="3" t="str">
        <f>"00457205"</f>
        <v>00457205</v>
      </c>
    </row>
    <row r="1986" spans="1:7" x14ac:dyDescent="0.25">
      <c r="A1986" s="2">
        <v>1985</v>
      </c>
      <c r="B1986" s="3">
        <v>9883</v>
      </c>
      <c r="C1986" s="5" t="s">
        <v>3633</v>
      </c>
      <c r="D1986" s="5" t="s">
        <v>3632</v>
      </c>
      <c r="E1986" s="5" t="s">
        <v>252</v>
      </c>
      <c r="F1986" s="3" t="s">
        <v>3634</v>
      </c>
      <c r="G1986" s="3" t="str">
        <f>"00973845"</f>
        <v>00973845</v>
      </c>
    </row>
    <row r="1987" spans="1:7" x14ac:dyDescent="0.25">
      <c r="A1987" s="2">
        <v>1986</v>
      </c>
      <c r="B1987" s="3">
        <v>13054</v>
      </c>
      <c r="C1987" s="5" t="s">
        <v>3132</v>
      </c>
      <c r="D1987" s="5" t="s">
        <v>258</v>
      </c>
      <c r="E1987" s="5" t="s">
        <v>52</v>
      </c>
      <c r="F1987" s="3" t="s">
        <v>3133</v>
      </c>
      <c r="G1987" s="3" t="str">
        <f>"00404737"</f>
        <v>00404737</v>
      </c>
    </row>
    <row r="1988" spans="1:7" x14ac:dyDescent="0.25">
      <c r="A1988" s="2">
        <v>1987</v>
      </c>
      <c r="B1988" s="3">
        <v>8297</v>
      </c>
      <c r="C1988" s="5" t="s">
        <v>1613</v>
      </c>
      <c r="D1988" s="5" t="s">
        <v>1612</v>
      </c>
      <c r="E1988" s="5" t="s">
        <v>4829</v>
      </c>
      <c r="F1988" s="3" t="s">
        <v>1614</v>
      </c>
      <c r="G1988" s="3" t="str">
        <f>"00981459"</f>
        <v>00981459</v>
      </c>
    </row>
    <row r="1989" spans="1:7" x14ac:dyDescent="0.25">
      <c r="A1989" s="2">
        <v>1988</v>
      </c>
      <c r="B1989" s="3">
        <v>6613</v>
      </c>
      <c r="C1989" s="5" t="s">
        <v>4644</v>
      </c>
      <c r="D1989" s="5" t="s">
        <v>91</v>
      </c>
      <c r="E1989" s="5" t="s">
        <v>38</v>
      </c>
      <c r="F1989" s="3" t="s">
        <v>4645</v>
      </c>
      <c r="G1989" s="3" t="str">
        <f>"00720775"</f>
        <v>00720775</v>
      </c>
    </row>
    <row r="1990" spans="1:7" x14ac:dyDescent="0.25">
      <c r="A1990" s="2">
        <v>1989</v>
      </c>
      <c r="B1990" s="3">
        <v>8658</v>
      </c>
      <c r="C1990" s="5" t="s">
        <v>3448</v>
      </c>
      <c r="D1990" s="5" t="s">
        <v>32</v>
      </c>
      <c r="E1990" s="5" t="s">
        <v>44</v>
      </c>
      <c r="F1990" s="3" t="s">
        <v>4515</v>
      </c>
      <c r="G1990" s="3" t="str">
        <f>"00501330"</f>
        <v>00501330</v>
      </c>
    </row>
    <row r="1991" spans="1:7" x14ac:dyDescent="0.25">
      <c r="A1991" s="2">
        <v>1990</v>
      </c>
      <c r="B1991" s="3">
        <v>5506</v>
      </c>
      <c r="C1991" s="5" t="s">
        <v>3448</v>
      </c>
      <c r="D1991" s="5" t="s">
        <v>3447</v>
      </c>
      <c r="E1991" s="5" t="s">
        <v>44</v>
      </c>
      <c r="F1991" s="3" t="s">
        <v>3449</v>
      </c>
      <c r="G1991" s="3" t="str">
        <f>"00827653"</f>
        <v>00827653</v>
      </c>
    </row>
    <row r="1992" spans="1:7" x14ac:dyDescent="0.25">
      <c r="A1992" s="2">
        <v>1991</v>
      </c>
      <c r="B1992" s="3">
        <v>11250</v>
      </c>
      <c r="C1992" s="5" t="s">
        <v>3448</v>
      </c>
      <c r="D1992" s="5" t="s">
        <v>38</v>
      </c>
      <c r="E1992" s="5" t="s">
        <v>167</v>
      </c>
      <c r="F1992" s="3" t="s">
        <v>4617</v>
      </c>
      <c r="G1992" s="3" t="str">
        <f>"00473625"</f>
        <v>00473625</v>
      </c>
    </row>
    <row r="1993" spans="1:7" x14ac:dyDescent="0.25">
      <c r="A1993" s="2">
        <v>1992</v>
      </c>
      <c r="B1993" s="3">
        <v>2210</v>
      </c>
      <c r="C1993" s="5" t="s">
        <v>3907</v>
      </c>
      <c r="D1993" s="5" t="s">
        <v>366</v>
      </c>
      <c r="E1993" s="5" t="s">
        <v>4789</v>
      </c>
      <c r="F1993" s="3" t="s">
        <v>3908</v>
      </c>
      <c r="G1993" s="3" t="str">
        <f>"01014175"</f>
        <v>01014175</v>
      </c>
    </row>
    <row r="1994" spans="1:7" x14ac:dyDescent="0.25">
      <c r="A1994" s="2">
        <v>1993</v>
      </c>
      <c r="B1994" s="3">
        <v>195</v>
      </c>
      <c r="C1994" s="5" t="s">
        <v>232</v>
      </c>
      <c r="D1994" s="5" t="s">
        <v>231</v>
      </c>
      <c r="E1994" s="5" t="s">
        <v>129</v>
      </c>
      <c r="F1994" s="3" t="s">
        <v>233</v>
      </c>
      <c r="G1994" s="3" t="str">
        <f>"00722220"</f>
        <v>00722220</v>
      </c>
    </row>
    <row r="1995" spans="1:7" x14ac:dyDescent="0.25">
      <c r="A1995" s="2">
        <v>1994</v>
      </c>
      <c r="B1995" s="3">
        <v>5232</v>
      </c>
      <c r="C1995" s="5" t="s">
        <v>2390</v>
      </c>
      <c r="D1995" s="5" t="s">
        <v>52</v>
      </c>
      <c r="E1995" s="5" t="s">
        <v>11</v>
      </c>
      <c r="F1995" s="3" t="s">
        <v>2391</v>
      </c>
      <c r="G1995" s="3" t="str">
        <f>"201510000707"</f>
        <v>201510000707</v>
      </c>
    </row>
    <row r="1996" spans="1:7" x14ac:dyDescent="0.25">
      <c r="A1996" s="2">
        <v>1995</v>
      </c>
      <c r="B1996" s="3">
        <v>406</v>
      </c>
      <c r="C1996" s="5" t="s">
        <v>3264</v>
      </c>
      <c r="D1996" s="5" t="s">
        <v>622</v>
      </c>
      <c r="E1996" s="5" t="s">
        <v>44</v>
      </c>
      <c r="F1996" s="3" t="s">
        <v>3265</v>
      </c>
      <c r="G1996" s="3" t="str">
        <f>"00986219"</f>
        <v>00986219</v>
      </c>
    </row>
    <row r="1997" spans="1:7" x14ac:dyDescent="0.25">
      <c r="A1997" s="2">
        <v>1996</v>
      </c>
      <c r="B1997" s="3">
        <v>12822</v>
      </c>
      <c r="C1997" s="5" t="s">
        <v>940</v>
      </c>
      <c r="D1997" s="5" t="s">
        <v>94</v>
      </c>
      <c r="E1997" s="5" t="s">
        <v>52</v>
      </c>
      <c r="F1997" s="3" t="s">
        <v>941</v>
      </c>
      <c r="G1997" s="3" t="str">
        <f>"00029636"</f>
        <v>00029636</v>
      </c>
    </row>
    <row r="1998" spans="1:7" x14ac:dyDescent="0.25">
      <c r="A1998" s="2">
        <v>1997</v>
      </c>
      <c r="B1998" s="3">
        <v>7863</v>
      </c>
      <c r="C1998" s="5" t="s">
        <v>1897</v>
      </c>
      <c r="D1998" s="5" t="s">
        <v>2564</v>
      </c>
      <c r="E1998" s="5" t="s">
        <v>52</v>
      </c>
      <c r="F1998" s="3" t="s">
        <v>2565</v>
      </c>
      <c r="G1998" s="3" t="str">
        <f>"01016295"</f>
        <v>01016295</v>
      </c>
    </row>
    <row r="1999" spans="1:7" x14ac:dyDescent="0.25">
      <c r="A1999" s="2">
        <v>1998</v>
      </c>
      <c r="B1999" s="3">
        <v>6715</v>
      </c>
      <c r="C1999" s="5" t="s">
        <v>1897</v>
      </c>
      <c r="D1999" s="5" t="s">
        <v>622</v>
      </c>
      <c r="E1999" s="5" t="s">
        <v>284</v>
      </c>
      <c r="F1999" s="3" t="s">
        <v>1898</v>
      </c>
      <c r="G1999" s="3" t="str">
        <f>"01016615"</f>
        <v>01016615</v>
      </c>
    </row>
    <row r="2000" spans="1:7" x14ac:dyDescent="0.25">
      <c r="A2000" s="2">
        <v>1999</v>
      </c>
      <c r="B2000" s="3">
        <v>3163</v>
      </c>
      <c r="C2000" s="5" t="s">
        <v>1897</v>
      </c>
      <c r="D2000" s="5" t="s">
        <v>38</v>
      </c>
      <c r="E2000" s="5" t="s">
        <v>87</v>
      </c>
      <c r="F2000" s="3" t="s">
        <v>2801</v>
      </c>
      <c r="G2000" s="3" t="str">
        <f>"00043672"</f>
        <v>00043672</v>
      </c>
    </row>
    <row r="2001" spans="1:7" x14ac:dyDescent="0.25">
      <c r="A2001" s="2">
        <v>2000</v>
      </c>
      <c r="B2001" s="3">
        <v>7465</v>
      </c>
      <c r="C2001" s="5" t="s">
        <v>404</v>
      </c>
      <c r="D2001" s="5" t="s">
        <v>403</v>
      </c>
      <c r="E2001" s="5" t="s">
        <v>284</v>
      </c>
      <c r="F2001" s="3" t="s">
        <v>405</v>
      </c>
      <c r="G2001" s="3" t="str">
        <f>"00932773"</f>
        <v>00932773</v>
      </c>
    </row>
    <row r="2002" spans="1:7" x14ac:dyDescent="0.25">
      <c r="A2002" s="2">
        <v>2001</v>
      </c>
      <c r="B2002" s="3">
        <v>11999</v>
      </c>
      <c r="C2002" s="5" t="s">
        <v>2007</v>
      </c>
      <c r="D2002" s="5" t="s">
        <v>773</v>
      </c>
      <c r="E2002" s="5" t="s">
        <v>32</v>
      </c>
      <c r="F2002" s="3" t="s">
        <v>2008</v>
      </c>
      <c r="G2002" s="3" t="str">
        <f>"00206680"</f>
        <v>00206680</v>
      </c>
    </row>
    <row r="2003" spans="1:7" x14ac:dyDescent="0.25">
      <c r="A2003" s="2">
        <v>2002</v>
      </c>
      <c r="B2003" s="3">
        <v>10183</v>
      </c>
      <c r="C2003" s="5" t="s">
        <v>4079</v>
      </c>
      <c r="D2003" s="5" t="s">
        <v>126</v>
      </c>
      <c r="E2003" s="5" t="s">
        <v>52</v>
      </c>
      <c r="F2003" s="3" t="s">
        <v>4080</v>
      </c>
      <c r="G2003" s="3" t="str">
        <f>"00986491"</f>
        <v>00986491</v>
      </c>
    </row>
    <row r="2004" spans="1:7" x14ac:dyDescent="0.25">
      <c r="A2004" s="2">
        <v>2003</v>
      </c>
      <c r="B2004" s="3">
        <v>8542</v>
      </c>
      <c r="C2004" s="5" t="s">
        <v>3271</v>
      </c>
      <c r="D2004" s="5" t="s">
        <v>87</v>
      </c>
      <c r="E2004" s="5" t="s">
        <v>87</v>
      </c>
      <c r="F2004" s="3" t="s">
        <v>3272</v>
      </c>
      <c r="G2004" s="3" t="str">
        <f>"01014430"</f>
        <v>01014430</v>
      </c>
    </row>
    <row r="2005" spans="1:7" x14ac:dyDescent="0.25">
      <c r="A2005" s="2">
        <v>2004</v>
      </c>
      <c r="B2005" s="3">
        <v>4367</v>
      </c>
      <c r="C2005" s="5" t="s">
        <v>3141</v>
      </c>
      <c r="D2005" s="5" t="s">
        <v>865</v>
      </c>
      <c r="E2005" s="5" t="s">
        <v>609</v>
      </c>
      <c r="F2005" s="3" t="s">
        <v>3142</v>
      </c>
      <c r="G2005" s="3" t="str">
        <f>"00778450"</f>
        <v>00778450</v>
      </c>
    </row>
    <row r="2006" spans="1:7" x14ac:dyDescent="0.25">
      <c r="A2006" s="2">
        <v>2005</v>
      </c>
      <c r="B2006" s="3">
        <v>6169</v>
      </c>
      <c r="C2006" s="5" t="s">
        <v>2182</v>
      </c>
      <c r="D2006" s="5" t="s">
        <v>558</v>
      </c>
      <c r="E2006" s="5" t="s">
        <v>11</v>
      </c>
      <c r="F2006" s="3" t="s">
        <v>2183</v>
      </c>
      <c r="G2006" s="3" t="str">
        <f>"01009016"</f>
        <v>01009016</v>
      </c>
    </row>
    <row r="2007" spans="1:7" x14ac:dyDescent="0.25">
      <c r="A2007" s="2">
        <v>2006</v>
      </c>
      <c r="B2007" s="3">
        <v>2340</v>
      </c>
      <c r="C2007" s="5" t="s">
        <v>2444</v>
      </c>
      <c r="D2007" s="5" t="s">
        <v>44</v>
      </c>
      <c r="E2007" s="5" t="s">
        <v>52</v>
      </c>
      <c r="F2007" s="3" t="s">
        <v>3166</v>
      </c>
      <c r="G2007" s="3" t="str">
        <f>"01016595"</f>
        <v>01016595</v>
      </c>
    </row>
    <row r="2008" spans="1:7" x14ac:dyDescent="0.25">
      <c r="A2008" s="2">
        <v>2007</v>
      </c>
      <c r="B2008" s="3">
        <v>5444</v>
      </c>
      <c r="C2008" s="5" t="s">
        <v>2444</v>
      </c>
      <c r="D2008" s="5" t="s">
        <v>503</v>
      </c>
      <c r="E2008" s="5" t="s">
        <v>1172</v>
      </c>
      <c r="F2008" s="3" t="s">
        <v>2445</v>
      </c>
      <c r="G2008" s="3" t="str">
        <f>"00982693"</f>
        <v>00982693</v>
      </c>
    </row>
    <row r="2009" spans="1:7" x14ac:dyDescent="0.25">
      <c r="A2009" s="2">
        <v>2008</v>
      </c>
      <c r="B2009" s="3">
        <v>3975</v>
      </c>
      <c r="C2009" s="5" t="s">
        <v>205</v>
      </c>
      <c r="D2009" s="5" t="s">
        <v>3821</v>
      </c>
      <c r="E2009" s="5" t="s">
        <v>4891</v>
      </c>
      <c r="F2009" s="3" t="s">
        <v>3822</v>
      </c>
      <c r="G2009" s="3" t="str">
        <f>"00572280"</f>
        <v>00572280</v>
      </c>
    </row>
    <row r="2010" spans="1:7" x14ac:dyDescent="0.25">
      <c r="A2010" s="2">
        <v>2009</v>
      </c>
      <c r="B2010" s="3">
        <v>12133</v>
      </c>
      <c r="C2010" s="5" t="s">
        <v>205</v>
      </c>
      <c r="D2010" s="5" t="s">
        <v>129</v>
      </c>
      <c r="E2010" s="5" t="s">
        <v>858</v>
      </c>
      <c r="F2010" s="3" t="s">
        <v>206</v>
      </c>
      <c r="G2010" s="3" t="str">
        <f>"00816238"</f>
        <v>00816238</v>
      </c>
    </row>
    <row r="2011" spans="1:7" x14ac:dyDescent="0.25">
      <c r="A2011" s="2">
        <v>2010</v>
      </c>
      <c r="B2011" s="3">
        <v>1555</v>
      </c>
      <c r="C2011" s="5" t="s">
        <v>323</v>
      </c>
      <c r="D2011" s="5" t="s">
        <v>126</v>
      </c>
      <c r="E2011" s="5" t="s">
        <v>382</v>
      </c>
      <c r="F2011" s="3" t="s">
        <v>324</v>
      </c>
      <c r="G2011" s="3" t="str">
        <f>"00089668"</f>
        <v>00089668</v>
      </c>
    </row>
    <row r="2012" spans="1:7" x14ac:dyDescent="0.25">
      <c r="A2012" s="2">
        <v>2011</v>
      </c>
      <c r="B2012" s="3">
        <v>9002</v>
      </c>
      <c r="C2012" s="5" t="s">
        <v>1094</v>
      </c>
      <c r="D2012" s="5" t="s">
        <v>126</v>
      </c>
      <c r="E2012" s="5" t="s">
        <v>382</v>
      </c>
      <c r="F2012" s="3" t="s">
        <v>1095</v>
      </c>
      <c r="G2012" s="3" t="str">
        <f>"00933580"</f>
        <v>00933580</v>
      </c>
    </row>
    <row r="2013" spans="1:7" x14ac:dyDescent="0.25">
      <c r="A2013" s="2">
        <v>2012</v>
      </c>
      <c r="B2013" s="3">
        <v>11459</v>
      </c>
      <c r="C2013" s="5" t="s">
        <v>1738</v>
      </c>
      <c r="D2013" s="5" t="s">
        <v>52</v>
      </c>
      <c r="E2013" s="5" t="s">
        <v>87</v>
      </c>
      <c r="F2013" s="3" t="s">
        <v>1739</v>
      </c>
      <c r="G2013" s="3" t="str">
        <f>"00155042"</f>
        <v>00155042</v>
      </c>
    </row>
    <row r="2014" spans="1:7" x14ac:dyDescent="0.25">
      <c r="A2014" s="2">
        <v>2013</v>
      </c>
      <c r="B2014" s="3">
        <v>1746</v>
      </c>
      <c r="C2014" s="5" t="s">
        <v>1738</v>
      </c>
      <c r="D2014" s="5" t="s">
        <v>44</v>
      </c>
      <c r="E2014" s="5" t="s">
        <v>52</v>
      </c>
      <c r="F2014" s="3">
        <v>2012965</v>
      </c>
      <c r="G2014" s="3" t="str">
        <f>"00743673"</f>
        <v>00743673</v>
      </c>
    </row>
    <row r="2015" spans="1:7" x14ac:dyDescent="0.25">
      <c r="A2015" s="2">
        <v>2014</v>
      </c>
      <c r="B2015" s="3">
        <v>2733</v>
      </c>
      <c r="C2015" s="5" t="s">
        <v>988</v>
      </c>
      <c r="D2015" s="5" t="s">
        <v>14</v>
      </c>
      <c r="E2015" s="5" t="s">
        <v>27</v>
      </c>
      <c r="F2015" s="3" t="s">
        <v>989</v>
      </c>
      <c r="G2015" s="3" t="str">
        <f>"00270198"</f>
        <v>00270198</v>
      </c>
    </row>
    <row r="2016" spans="1:7" x14ac:dyDescent="0.25">
      <c r="A2016" s="2">
        <v>2015</v>
      </c>
      <c r="B2016" s="3">
        <v>2868</v>
      </c>
      <c r="C2016" s="5" t="s">
        <v>3980</v>
      </c>
      <c r="D2016" s="5" t="s">
        <v>24</v>
      </c>
      <c r="E2016" s="5" t="s">
        <v>63</v>
      </c>
      <c r="F2016" s="3" t="s">
        <v>3981</v>
      </c>
      <c r="G2016" s="3" t="str">
        <f>"00982387"</f>
        <v>00982387</v>
      </c>
    </row>
    <row r="2017" spans="1:7" x14ac:dyDescent="0.25">
      <c r="A2017" s="2">
        <v>2016</v>
      </c>
      <c r="B2017" s="3">
        <v>8138</v>
      </c>
      <c r="C2017" s="5" t="s">
        <v>4488</v>
      </c>
      <c r="D2017" s="5" t="s">
        <v>307</v>
      </c>
      <c r="E2017" s="5" t="s">
        <v>5</v>
      </c>
      <c r="F2017" s="3" t="s">
        <v>4489</v>
      </c>
      <c r="G2017" s="3" t="str">
        <f>"01016875"</f>
        <v>01016875</v>
      </c>
    </row>
    <row r="2018" spans="1:7" x14ac:dyDescent="0.25">
      <c r="A2018" s="2">
        <v>2017</v>
      </c>
      <c r="B2018" s="3">
        <v>3123</v>
      </c>
      <c r="C2018" s="5" t="s">
        <v>677</v>
      </c>
      <c r="D2018" s="5" t="s">
        <v>676</v>
      </c>
      <c r="E2018" s="5" t="s">
        <v>11</v>
      </c>
      <c r="F2018" s="3" t="s">
        <v>678</v>
      </c>
      <c r="G2018" s="3" t="str">
        <f>"00979728"</f>
        <v>00979728</v>
      </c>
    </row>
    <row r="2019" spans="1:7" x14ac:dyDescent="0.25">
      <c r="A2019" s="2">
        <v>2018</v>
      </c>
      <c r="B2019" s="3">
        <v>3982</v>
      </c>
      <c r="C2019" s="5" t="s">
        <v>2059</v>
      </c>
      <c r="D2019" s="5" t="s">
        <v>14</v>
      </c>
      <c r="E2019" s="5" t="s">
        <v>63</v>
      </c>
      <c r="F2019" s="3" t="s">
        <v>2060</v>
      </c>
      <c r="G2019" s="3" t="str">
        <f>"00207042"</f>
        <v>00207042</v>
      </c>
    </row>
    <row r="2020" spans="1:7" x14ac:dyDescent="0.25">
      <c r="A2020" s="2">
        <v>2019</v>
      </c>
      <c r="B2020" s="3">
        <v>5242</v>
      </c>
      <c r="C2020" s="5" t="s">
        <v>2040</v>
      </c>
      <c r="D2020" s="5" t="s">
        <v>773</v>
      </c>
      <c r="E2020" s="5" t="s">
        <v>87</v>
      </c>
      <c r="F2020" s="3" t="s">
        <v>2041</v>
      </c>
      <c r="G2020" s="3" t="str">
        <f>"00684833"</f>
        <v>00684833</v>
      </c>
    </row>
    <row r="2021" spans="1:7" x14ac:dyDescent="0.25">
      <c r="A2021" s="2">
        <v>2020</v>
      </c>
      <c r="B2021" s="3">
        <v>7834</v>
      </c>
      <c r="C2021" s="5" t="s">
        <v>1856</v>
      </c>
      <c r="D2021" s="5" t="s">
        <v>18</v>
      </c>
      <c r="E2021" s="5" t="s">
        <v>44</v>
      </c>
      <c r="F2021" s="3" t="s">
        <v>1857</v>
      </c>
      <c r="G2021" s="3" t="str">
        <f>"01014743"</f>
        <v>01014743</v>
      </c>
    </row>
    <row r="2022" spans="1:7" x14ac:dyDescent="0.25">
      <c r="A2022" s="2">
        <v>2021</v>
      </c>
      <c r="B2022" s="3">
        <v>11576</v>
      </c>
      <c r="C2022" s="5" t="s">
        <v>228</v>
      </c>
      <c r="D2022" s="5" t="s">
        <v>18</v>
      </c>
      <c r="E2022" s="5" t="s">
        <v>1891</v>
      </c>
      <c r="F2022" s="3" t="s">
        <v>1289</v>
      </c>
      <c r="G2022" s="3" t="str">
        <f>"00926087"</f>
        <v>00926087</v>
      </c>
    </row>
    <row r="2023" spans="1:7" x14ac:dyDescent="0.25">
      <c r="A2023" s="2">
        <v>2022</v>
      </c>
      <c r="B2023" s="3">
        <v>6961</v>
      </c>
      <c r="C2023" s="5" t="s">
        <v>228</v>
      </c>
      <c r="D2023" s="5" t="s">
        <v>3398</v>
      </c>
      <c r="E2023" s="5" t="s">
        <v>667</v>
      </c>
      <c r="F2023" s="3" t="s">
        <v>3399</v>
      </c>
      <c r="G2023" s="3" t="str">
        <f>"00882099"</f>
        <v>00882099</v>
      </c>
    </row>
    <row r="2024" spans="1:7" x14ac:dyDescent="0.25">
      <c r="A2024" s="2">
        <v>2023</v>
      </c>
      <c r="B2024" s="3">
        <v>10463</v>
      </c>
      <c r="C2024" s="5" t="s">
        <v>228</v>
      </c>
      <c r="D2024" s="5" t="s">
        <v>227</v>
      </c>
      <c r="E2024" s="5" t="s">
        <v>14</v>
      </c>
      <c r="F2024" s="3" t="s">
        <v>229</v>
      </c>
      <c r="G2024" s="3" t="str">
        <f>"01017472"</f>
        <v>01017472</v>
      </c>
    </row>
    <row r="2025" spans="1:7" x14ac:dyDescent="0.25">
      <c r="A2025" s="2">
        <v>2024</v>
      </c>
      <c r="B2025" s="3">
        <v>12902</v>
      </c>
      <c r="C2025" s="5" t="s">
        <v>228</v>
      </c>
      <c r="D2025" s="5" t="s">
        <v>126</v>
      </c>
      <c r="E2025" s="5" t="s">
        <v>252</v>
      </c>
      <c r="F2025" s="3" t="s">
        <v>839</v>
      </c>
      <c r="G2025" s="3" t="str">
        <f>"00217566"</f>
        <v>00217566</v>
      </c>
    </row>
    <row r="2026" spans="1:7" x14ac:dyDescent="0.25">
      <c r="A2026" s="2">
        <v>2025</v>
      </c>
      <c r="B2026" s="3">
        <v>6989</v>
      </c>
      <c r="C2026" s="5" t="s">
        <v>27</v>
      </c>
      <c r="D2026" s="5" t="s">
        <v>1384</v>
      </c>
      <c r="E2026" s="5" t="s">
        <v>4821</v>
      </c>
      <c r="F2026" s="3" t="s">
        <v>1385</v>
      </c>
      <c r="G2026" s="3" t="str">
        <f>"00848567"</f>
        <v>00848567</v>
      </c>
    </row>
    <row r="2027" spans="1:7" x14ac:dyDescent="0.25">
      <c r="A2027" s="2">
        <v>2026</v>
      </c>
      <c r="B2027" s="3">
        <v>11256</v>
      </c>
      <c r="C2027" s="5" t="s">
        <v>2031</v>
      </c>
      <c r="D2027" s="5" t="s">
        <v>5</v>
      </c>
      <c r="E2027" s="5" t="s">
        <v>87</v>
      </c>
      <c r="F2027" s="3" t="s">
        <v>2032</v>
      </c>
      <c r="G2027" s="3" t="str">
        <f>"00978942"</f>
        <v>00978942</v>
      </c>
    </row>
    <row r="2028" spans="1:7" x14ac:dyDescent="0.25">
      <c r="A2028" s="2">
        <v>2027</v>
      </c>
      <c r="B2028" s="3">
        <v>2124</v>
      </c>
      <c r="C2028" s="5" t="s">
        <v>4345</v>
      </c>
      <c r="D2028" s="5" t="s">
        <v>198</v>
      </c>
      <c r="E2028" s="5" t="s">
        <v>129</v>
      </c>
      <c r="F2028" s="3" t="s">
        <v>4346</v>
      </c>
      <c r="G2028" s="3" t="str">
        <f>"00939114"</f>
        <v>00939114</v>
      </c>
    </row>
    <row r="2029" spans="1:7" x14ac:dyDescent="0.25">
      <c r="A2029" s="2">
        <v>2028</v>
      </c>
      <c r="B2029" s="3">
        <v>7285</v>
      </c>
      <c r="C2029" s="5" t="s">
        <v>2020</v>
      </c>
      <c r="D2029" s="5" t="s">
        <v>94</v>
      </c>
      <c r="E2029" s="5" t="s">
        <v>102</v>
      </c>
      <c r="F2029" s="3" t="s">
        <v>2021</v>
      </c>
      <c r="G2029" s="3" t="str">
        <f>"00446280"</f>
        <v>00446280</v>
      </c>
    </row>
    <row r="2030" spans="1:7" x14ac:dyDescent="0.25">
      <c r="A2030" s="2">
        <v>2029</v>
      </c>
      <c r="B2030" s="3">
        <v>11895</v>
      </c>
      <c r="C2030" s="5" t="s">
        <v>1634</v>
      </c>
      <c r="D2030" s="5" t="s">
        <v>94</v>
      </c>
      <c r="E2030" s="5" t="s">
        <v>532</v>
      </c>
      <c r="F2030" s="3" t="s">
        <v>2148</v>
      </c>
      <c r="G2030" s="3" t="str">
        <f>"00976739"</f>
        <v>00976739</v>
      </c>
    </row>
    <row r="2031" spans="1:7" x14ac:dyDescent="0.25">
      <c r="A2031" s="2">
        <v>2030</v>
      </c>
      <c r="B2031" s="3">
        <v>3584</v>
      </c>
      <c r="C2031" s="5" t="s">
        <v>1634</v>
      </c>
      <c r="D2031" s="5" t="s">
        <v>44</v>
      </c>
      <c r="E2031" s="5" t="s">
        <v>87</v>
      </c>
      <c r="F2031" s="3" t="s">
        <v>1635</v>
      </c>
      <c r="G2031" s="3" t="str">
        <f>"00985591"</f>
        <v>00985591</v>
      </c>
    </row>
    <row r="2032" spans="1:7" x14ac:dyDescent="0.25">
      <c r="A2032" s="2">
        <v>2031</v>
      </c>
      <c r="B2032" s="3">
        <v>8032</v>
      </c>
      <c r="C2032" s="5" t="s">
        <v>3562</v>
      </c>
      <c r="D2032" s="5" t="s">
        <v>3561</v>
      </c>
      <c r="E2032" s="5" t="s">
        <v>32</v>
      </c>
      <c r="F2032" s="3" t="s">
        <v>3563</v>
      </c>
      <c r="G2032" s="3" t="str">
        <f>"00930083"</f>
        <v>00930083</v>
      </c>
    </row>
    <row r="2033" spans="1:7" x14ac:dyDescent="0.25">
      <c r="A2033" s="2">
        <v>2032</v>
      </c>
      <c r="B2033" s="3">
        <v>11590</v>
      </c>
      <c r="C2033" s="5" t="s">
        <v>3944</v>
      </c>
      <c r="D2033" s="5" t="s">
        <v>3943</v>
      </c>
      <c r="E2033" s="5" t="s">
        <v>91</v>
      </c>
      <c r="F2033" s="3">
        <v>710779017</v>
      </c>
      <c r="G2033" s="3" t="str">
        <f>"00449136"</f>
        <v>00449136</v>
      </c>
    </row>
    <row r="2034" spans="1:7" x14ac:dyDescent="0.25">
      <c r="A2034" s="2">
        <v>2033</v>
      </c>
      <c r="B2034" s="3">
        <v>2607</v>
      </c>
      <c r="C2034" s="5" t="s">
        <v>1825</v>
      </c>
      <c r="D2034" s="5" t="s">
        <v>207</v>
      </c>
      <c r="E2034" s="5" t="s">
        <v>52</v>
      </c>
      <c r="F2034" s="3" t="s">
        <v>1826</v>
      </c>
      <c r="G2034" s="3" t="str">
        <f>"01010363"</f>
        <v>01010363</v>
      </c>
    </row>
    <row r="2035" spans="1:7" x14ac:dyDescent="0.25">
      <c r="A2035" s="2">
        <v>2034</v>
      </c>
      <c r="B2035" s="3">
        <v>1319</v>
      </c>
      <c r="C2035" s="5" t="s">
        <v>1837</v>
      </c>
      <c r="D2035" s="5" t="s">
        <v>32</v>
      </c>
      <c r="E2035" s="5" t="s">
        <v>4836</v>
      </c>
      <c r="F2035" s="3">
        <v>2721785</v>
      </c>
      <c r="G2035" s="3" t="str">
        <f>"00770380"</f>
        <v>00770380</v>
      </c>
    </row>
    <row r="2036" spans="1:7" x14ac:dyDescent="0.25">
      <c r="A2036" s="2">
        <v>2035</v>
      </c>
      <c r="B2036" s="3">
        <v>4264</v>
      </c>
      <c r="C2036" s="5" t="s">
        <v>2802</v>
      </c>
      <c r="D2036" s="5" t="s">
        <v>129</v>
      </c>
      <c r="E2036" s="5" t="s">
        <v>11</v>
      </c>
      <c r="F2036" s="3" t="s">
        <v>2803</v>
      </c>
      <c r="G2036" s="3" t="str">
        <f>"01015787"</f>
        <v>01015787</v>
      </c>
    </row>
    <row r="2037" spans="1:7" x14ac:dyDescent="0.25">
      <c r="A2037" s="2">
        <v>2036</v>
      </c>
      <c r="B2037" s="3">
        <v>5464</v>
      </c>
      <c r="C2037" s="5" t="s">
        <v>2802</v>
      </c>
      <c r="D2037" s="5" t="s">
        <v>622</v>
      </c>
      <c r="E2037" s="5" t="s">
        <v>41</v>
      </c>
      <c r="F2037" s="3" t="s">
        <v>4353</v>
      </c>
      <c r="G2037" s="3" t="str">
        <f>"01012860"</f>
        <v>01012860</v>
      </c>
    </row>
    <row r="2038" spans="1:7" x14ac:dyDescent="0.25">
      <c r="A2038" s="2">
        <v>2037</v>
      </c>
      <c r="B2038" s="3">
        <v>8503</v>
      </c>
      <c r="C2038" s="5" t="s">
        <v>894</v>
      </c>
      <c r="D2038" s="5" t="s">
        <v>41</v>
      </c>
      <c r="E2038" s="5" t="s">
        <v>14</v>
      </c>
      <c r="F2038" s="3">
        <v>2045627</v>
      </c>
      <c r="G2038" s="3" t="str">
        <f>"00980343"</f>
        <v>00980343</v>
      </c>
    </row>
    <row r="2039" spans="1:7" x14ac:dyDescent="0.25">
      <c r="A2039" s="2">
        <v>2038</v>
      </c>
      <c r="B2039" s="3">
        <v>4878</v>
      </c>
      <c r="C2039" s="5" t="s">
        <v>583</v>
      </c>
      <c r="D2039" s="5" t="s">
        <v>582</v>
      </c>
      <c r="E2039" s="5" t="s">
        <v>52</v>
      </c>
      <c r="F2039" s="3" t="s">
        <v>584</v>
      </c>
      <c r="G2039" s="3" t="str">
        <f>"00792127"</f>
        <v>00792127</v>
      </c>
    </row>
    <row r="2040" spans="1:7" x14ac:dyDescent="0.25">
      <c r="A2040" s="2">
        <v>2039</v>
      </c>
      <c r="B2040" s="3">
        <v>7360</v>
      </c>
      <c r="C2040" s="5" t="s">
        <v>1003</v>
      </c>
      <c r="D2040" s="5" t="s">
        <v>44</v>
      </c>
      <c r="E2040" s="5" t="s">
        <v>87</v>
      </c>
      <c r="F2040" s="3" t="s">
        <v>1004</v>
      </c>
      <c r="G2040" s="3" t="str">
        <f>"00315633"</f>
        <v>00315633</v>
      </c>
    </row>
    <row r="2041" spans="1:7" x14ac:dyDescent="0.25">
      <c r="A2041" s="2">
        <v>2040</v>
      </c>
      <c r="B2041" s="3">
        <v>12646</v>
      </c>
      <c r="C2041" s="5" t="s">
        <v>2946</v>
      </c>
      <c r="D2041" s="5" t="s">
        <v>2747</v>
      </c>
      <c r="E2041" s="5" t="s">
        <v>4843</v>
      </c>
      <c r="F2041" s="3" t="s">
        <v>2947</v>
      </c>
      <c r="G2041" s="3" t="str">
        <f>"00766158"</f>
        <v>00766158</v>
      </c>
    </row>
    <row r="2042" spans="1:7" x14ac:dyDescent="0.25">
      <c r="A2042" s="2">
        <v>2041</v>
      </c>
      <c r="B2042" s="3">
        <v>2238</v>
      </c>
      <c r="C2042" s="5" t="s">
        <v>2826</v>
      </c>
      <c r="D2042" s="5" t="s">
        <v>755</v>
      </c>
      <c r="E2042" s="5" t="s">
        <v>1432</v>
      </c>
      <c r="F2042" s="3" t="s">
        <v>2827</v>
      </c>
      <c r="G2042" s="3" t="str">
        <f>"00248032"</f>
        <v>00248032</v>
      </c>
    </row>
    <row r="2043" spans="1:7" x14ac:dyDescent="0.25">
      <c r="A2043" s="2">
        <v>2042</v>
      </c>
      <c r="B2043" s="3">
        <v>8217</v>
      </c>
      <c r="C2043" s="5" t="s">
        <v>4490</v>
      </c>
      <c r="D2043" s="5" t="s">
        <v>2022</v>
      </c>
      <c r="E2043" s="5" t="s">
        <v>87</v>
      </c>
      <c r="F2043" s="3" t="s">
        <v>4491</v>
      </c>
      <c r="G2043" s="3" t="str">
        <f>"00205585"</f>
        <v>00205585</v>
      </c>
    </row>
    <row r="2044" spans="1:7" x14ac:dyDescent="0.25">
      <c r="A2044" s="2">
        <v>2043</v>
      </c>
      <c r="B2044" s="3">
        <v>1117</v>
      </c>
      <c r="C2044" s="5" t="s">
        <v>1182</v>
      </c>
      <c r="D2044" s="5" t="s">
        <v>14</v>
      </c>
      <c r="E2044" s="5" t="s">
        <v>87</v>
      </c>
      <c r="F2044" s="3" t="s">
        <v>1183</v>
      </c>
      <c r="G2044" s="3" t="str">
        <f>"201406011255"</f>
        <v>201406011255</v>
      </c>
    </row>
    <row r="2045" spans="1:7" x14ac:dyDescent="0.25">
      <c r="A2045" s="2">
        <v>2044</v>
      </c>
      <c r="B2045" s="3">
        <v>4203</v>
      </c>
      <c r="C2045" s="5" t="s">
        <v>3577</v>
      </c>
      <c r="D2045" s="5" t="s">
        <v>52</v>
      </c>
      <c r="E2045" s="5" t="s">
        <v>14</v>
      </c>
      <c r="F2045" s="3" t="s">
        <v>3578</v>
      </c>
      <c r="G2045" s="3" t="str">
        <f>"01007489"</f>
        <v>01007489</v>
      </c>
    </row>
    <row r="2046" spans="1:7" x14ac:dyDescent="0.25">
      <c r="A2046" s="2">
        <v>2045</v>
      </c>
      <c r="B2046" s="3">
        <v>8806</v>
      </c>
      <c r="C2046" s="5" t="s">
        <v>2750</v>
      </c>
      <c r="D2046" s="5" t="s">
        <v>5</v>
      </c>
      <c r="E2046" s="5" t="s">
        <v>87</v>
      </c>
      <c r="F2046" s="3" t="s">
        <v>2751</v>
      </c>
      <c r="G2046" s="3" t="str">
        <f>"00956197"</f>
        <v>00956197</v>
      </c>
    </row>
    <row r="2047" spans="1:7" x14ac:dyDescent="0.25">
      <c r="A2047" s="2">
        <v>2046</v>
      </c>
      <c r="B2047" s="3">
        <v>1025</v>
      </c>
      <c r="C2047" s="5" t="s">
        <v>1404</v>
      </c>
      <c r="D2047" s="5" t="s">
        <v>84</v>
      </c>
      <c r="E2047" s="5" t="s">
        <v>52</v>
      </c>
      <c r="F2047" s="3" t="s">
        <v>1405</v>
      </c>
      <c r="G2047" s="3" t="str">
        <f>"00697926"</f>
        <v>00697926</v>
      </c>
    </row>
    <row r="2048" spans="1:7" x14ac:dyDescent="0.25">
      <c r="A2048" s="2">
        <v>2047</v>
      </c>
      <c r="B2048" s="3">
        <v>3221</v>
      </c>
      <c r="C2048" s="5" t="s">
        <v>947</v>
      </c>
      <c r="D2048" s="5" t="s">
        <v>82</v>
      </c>
      <c r="E2048" s="5" t="s">
        <v>87</v>
      </c>
      <c r="F2048" s="3" t="s">
        <v>1015</v>
      </c>
      <c r="G2048" s="3" t="str">
        <f>"01017931"</f>
        <v>01017931</v>
      </c>
    </row>
    <row r="2049" spans="1:7" x14ac:dyDescent="0.25">
      <c r="A2049" s="2">
        <v>2048</v>
      </c>
      <c r="B2049" s="3">
        <v>1898</v>
      </c>
      <c r="C2049" s="5" t="s">
        <v>947</v>
      </c>
      <c r="D2049" s="5" t="s">
        <v>35</v>
      </c>
      <c r="E2049" s="5" t="s">
        <v>52</v>
      </c>
      <c r="F2049" s="3" t="s">
        <v>948</v>
      </c>
      <c r="G2049" s="3" t="str">
        <f>"01016095"</f>
        <v>01016095</v>
      </c>
    </row>
    <row r="2050" spans="1:7" x14ac:dyDescent="0.25">
      <c r="A2050" s="2">
        <v>2049</v>
      </c>
      <c r="B2050" s="3">
        <v>821</v>
      </c>
      <c r="C2050" s="5" t="s">
        <v>3669</v>
      </c>
      <c r="D2050" s="5" t="s">
        <v>187</v>
      </c>
      <c r="E2050" s="5" t="s">
        <v>87</v>
      </c>
      <c r="F2050" s="3" t="s">
        <v>3670</v>
      </c>
      <c r="G2050" s="3" t="str">
        <f>"00890573"</f>
        <v>00890573</v>
      </c>
    </row>
    <row r="2051" spans="1:7" x14ac:dyDescent="0.25">
      <c r="A2051" s="2">
        <v>2050</v>
      </c>
      <c r="B2051" s="3">
        <v>2084</v>
      </c>
      <c r="C2051" s="5" t="s">
        <v>1720</v>
      </c>
      <c r="D2051" s="5" t="s">
        <v>87</v>
      </c>
      <c r="E2051" s="5" t="s">
        <v>38</v>
      </c>
      <c r="F2051" s="3">
        <v>1070661</v>
      </c>
      <c r="G2051" s="3" t="str">
        <f>"01018073"</f>
        <v>01018073</v>
      </c>
    </row>
    <row r="2052" spans="1:7" x14ac:dyDescent="0.25">
      <c r="A2052" s="2">
        <v>2051</v>
      </c>
      <c r="B2052" s="3">
        <v>6212</v>
      </c>
      <c r="C2052" s="5" t="s">
        <v>4326</v>
      </c>
      <c r="D2052" s="5" t="s">
        <v>162</v>
      </c>
      <c r="E2052" s="5" t="s">
        <v>87</v>
      </c>
      <c r="F2052" s="3" t="s">
        <v>4327</v>
      </c>
      <c r="G2052" s="3" t="str">
        <f>"00797656"</f>
        <v>00797656</v>
      </c>
    </row>
    <row r="2053" spans="1:7" x14ac:dyDescent="0.25">
      <c r="A2053" s="2">
        <v>2052</v>
      </c>
      <c r="B2053" s="3">
        <v>7557</v>
      </c>
      <c r="C2053" s="5" t="s">
        <v>1464</v>
      </c>
      <c r="D2053" s="5" t="s">
        <v>32</v>
      </c>
      <c r="E2053" s="5" t="s">
        <v>52</v>
      </c>
      <c r="F2053" s="3" t="s">
        <v>1465</v>
      </c>
      <c r="G2053" s="3" t="str">
        <f>"01016923"</f>
        <v>01016923</v>
      </c>
    </row>
    <row r="2054" spans="1:7" x14ac:dyDescent="0.25">
      <c r="A2054" s="2">
        <v>2053</v>
      </c>
      <c r="B2054" s="3">
        <v>2657</v>
      </c>
      <c r="C2054" s="5" t="s">
        <v>1296</v>
      </c>
      <c r="D2054" s="5" t="s">
        <v>1295</v>
      </c>
      <c r="E2054" s="5" t="s">
        <v>87</v>
      </c>
      <c r="F2054" s="3" t="s">
        <v>1297</v>
      </c>
      <c r="G2054" s="3" t="str">
        <f>"00156110"</f>
        <v>00156110</v>
      </c>
    </row>
    <row r="2055" spans="1:7" x14ac:dyDescent="0.25">
      <c r="A2055" s="2">
        <v>2054</v>
      </c>
      <c r="B2055" s="3">
        <v>11210</v>
      </c>
      <c r="C2055" s="5" t="s">
        <v>2414</v>
      </c>
      <c r="D2055" s="5" t="s">
        <v>44</v>
      </c>
      <c r="E2055" s="5" t="s">
        <v>609</v>
      </c>
      <c r="F2055" s="3" t="s">
        <v>2415</v>
      </c>
      <c r="G2055" s="3" t="str">
        <f>"00703496"</f>
        <v>00703496</v>
      </c>
    </row>
    <row r="2056" spans="1:7" x14ac:dyDescent="0.25">
      <c r="A2056" s="2">
        <v>2055</v>
      </c>
      <c r="B2056" s="3">
        <v>8809</v>
      </c>
      <c r="C2056" s="5" t="s">
        <v>1550</v>
      </c>
      <c r="D2056" s="5" t="s">
        <v>1549</v>
      </c>
      <c r="E2056" s="5" t="s">
        <v>87</v>
      </c>
      <c r="F2056" s="3" t="s">
        <v>1551</v>
      </c>
      <c r="G2056" s="3" t="str">
        <f>"00987010"</f>
        <v>00987010</v>
      </c>
    </row>
    <row r="2057" spans="1:7" x14ac:dyDescent="0.25">
      <c r="A2057" s="2">
        <v>2056</v>
      </c>
      <c r="B2057" s="3">
        <v>3546</v>
      </c>
      <c r="C2057" s="5" t="s">
        <v>501</v>
      </c>
      <c r="D2057" s="5" t="s">
        <v>284</v>
      </c>
      <c r="E2057" s="5" t="s">
        <v>11</v>
      </c>
      <c r="F2057" s="3" t="s">
        <v>4563</v>
      </c>
      <c r="G2057" s="3" t="str">
        <f>"00934785"</f>
        <v>00934785</v>
      </c>
    </row>
    <row r="2058" spans="1:7" x14ac:dyDescent="0.25">
      <c r="A2058" s="2">
        <v>2057</v>
      </c>
      <c r="B2058" s="3">
        <v>5826</v>
      </c>
      <c r="C2058" s="5" t="s">
        <v>501</v>
      </c>
      <c r="D2058" s="5" t="s">
        <v>1925</v>
      </c>
      <c r="E2058" s="5" t="s">
        <v>5</v>
      </c>
      <c r="F2058" s="3">
        <v>25485</v>
      </c>
      <c r="G2058" s="3" t="str">
        <f>"00792170"</f>
        <v>00792170</v>
      </c>
    </row>
    <row r="2059" spans="1:7" x14ac:dyDescent="0.25">
      <c r="A2059" s="2">
        <v>2058</v>
      </c>
      <c r="B2059" s="3">
        <v>12101</v>
      </c>
      <c r="C2059" s="5" t="s">
        <v>501</v>
      </c>
      <c r="D2059" s="5" t="s">
        <v>129</v>
      </c>
      <c r="E2059" s="5" t="s">
        <v>91</v>
      </c>
      <c r="F2059" s="3" t="s">
        <v>502</v>
      </c>
      <c r="G2059" s="3" t="str">
        <f>"00985930"</f>
        <v>00985930</v>
      </c>
    </row>
    <row r="2060" spans="1:7" x14ac:dyDescent="0.25">
      <c r="A2060" s="2">
        <v>2059</v>
      </c>
      <c r="B2060" s="3">
        <v>9636</v>
      </c>
      <c r="C2060" s="5" t="s">
        <v>2517</v>
      </c>
      <c r="D2060" s="5" t="s">
        <v>198</v>
      </c>
      <c r="E2060" s="5" t="s">
        <v>545</v>
      </c>
      <c r="F2060" s="3" t="s">
        <v>2518</v>
      </c>
      <c r="G2060" s="3" t="str">
        <f>"00825380"</f>
        <v>00825380</v>
      </c>
    </row>
    <row r="2061" spans="1:7" x14ac:dyDescent="0.25">
      <c r="A2061" s="2">
        <v>2060</v>
      </c>
      <c r="B2061" s="3">
        <v>8405</v>
      </c>
      <c r="C2061" s="5" t="s">
        <v>175</v>
      </c>
      <c r="D2061" s="5" t="s">
        <v>5</v>
      </c>
      <c r="E2061" s="5" t="s">
        <v>14</v>
      </c>
      <c r="F2061" s="3">
        <v>2738087</v>
      </c>
      <c r="G2061" s="3" t="str">
        <f>"01015919"</f>
        <v>01015919</v>
      </c>
    </row>
    <row r="2062" spans="1:7" x14ac:dyDescent="0.25">
      <c r="A2062" s="2">
        <v>2061</v>
      </c>
      <c r="B2062" s="3">
        <v>4791</v>
      </c>
      <c r="C2062" s="5" t="s">
        <v>3470</v>
      </c>
      <c r="D2062" s="5" t="s">
        <v>1131</v>
      </c>
      <c r="E2062" s="5" t="s">
        <v>44</v>
      </c>
      <c r="F2062" s="3" t="s">
        <v>3471</v>
      </c>
      <c r="G2062" s="3" t="str">
        <f>"00980314"</f>
        <v>00980314</v>
      </c>
    </row>
    <row r="2063" spans="1:7" x14ac:dyDescent="0.25">
      <c r="A2063" s="2">
        <v>2062</v>
      </c>
      <c r="B2063" s="3">
        <v>2696</v>
      </c>
      <c r="C2063" s="5" t="s">
        <v>267</v>
      </c>
      <c r="D2063" s="5" t="s">
        <v>266</v>
      </c>
      <c r="E2063" s="5" t="s">
        <v>52</v>
      </c>
      <c r="F2063" s="3" t="s">
        <v>268</v>
      </c>
      <c r="G2063" s="3" t="str">
        <f>"00933001"</f>
        <v>00933001</v>
      </c>
    </row>
    <row r="2064" spans="1:7" x14ac:dyDescent="0.25">
      <c r="A2064" s="2">
        <v>2063</v>
      </c>
      <c r="B2064" s="3">
        <v>5010</v>
      </c>
      <c r="C2064" s="5" t="s">
        <v>2884</v>
      </c>
      <c r="D2064" s="5" t="s">
        <v>44</v>
      </c>
      <c r="E2064" s="5" t="s">
        <v>5</v>
      </c>
      <c r="F2064" s="3" t="s">
        <v>2885</v>
      </c>
      <c r="G2064" s="3" t="str">
        <f>"01014926"</f>
        <v>01014926</v>
      </c>
    </row>
    <row r="2065" spans="1:7" x14ac:dyDescent="0.25">
      <c r="A2065" s="2">
        <v>2064</v>
      </c>
      <c r="B2065" s="3">
        <v>5371</v>
      </c>
      <c r="C2065" s="5" t="s">
        <v>3717</v>
      </c>
      <c r="D2065" s="5" t="s">
        <v>14</v>
      </c>
      <c r="E2065" s="5" t="s">
        <v>129</v>
      </c>
      <c r="F2065" s="3" t="s">
        <v>3718</v>
      </c>
      <c r="G2065" s="3" t="str">
        <f>"01004240"</f>
        <v>01004240</v>
      </c>
    </row>
    <row r="2066" spans="1:7" x14ac:dyDescent="0.25">
      <c r="A2066" s="2">
        <v>2065</v>
      </c>
      <c r="B2066" s="3">
        <v>10367</v>
      </c>
      <c r="C2066" s="5" t="s">
        <v>4024</v>
      </c>
      <c r="D2066" s="5" t="s">
        <v>24</v>
      </c>
      <c r="E2066" s="5" t="s">
        <v>284</v>
      </c>
      <c r="F2066" s="3" t="s">
        <v>4025</v>
      </c>
      <c r="G2066" s="3" t="str">
        <f>"00931436"</f>
        <v>00931436</v>
      </c>
    </row>
    <row r="2067" spans="1:7" x14ac:dyDescent="0.25">
      <c r="A2067" s="2">
        <v>2066</v>
      </c>
      <c r="B2067" s="3">
        <v>8760</v>
      </c>
      <c r="C2067" s="5" t="s">
        <v>419</v>
      </c>
      <c r="D2067" s="5" t="s">
        <v>129</v>
      </c>
      <c r="E2067" s="5" t="s">
        <v>52</v>
      </c>
      <c r="F2067" s="3" t="s">
        <v>4609</v>
      </c>
      <c r="G2067" s="3" t="str">
        <f>"00970521"</f>
        <v>00970521</v>
      </c>
    </row>
    <row r="2068" spans="1:7" x14ac:dyDescent="0.25">
      <c r="A2068" s="2">
        <v>2067</v>
      </c>
      <c r="B2068" s="3">
        <v>1851</v>
      </c>
      <c r="C2068" s="5" t="s">
        <v>419</v>
      </c>
      <c r="D2068" s="5" t="s">
        <v>5</v>
      </c>
      <c r="E2068" s="5" t="s">
        <v>113</v>
      </c>
      <c r="F2068" s="3" t="s">
        <v>420</v>
      </c>
      <c r="G2068" s="3" t="str">
        <f>"00483019"</f>
        <v>00483019</v>
      </c>
    </row>
    <row r="2069" spans="1:7" x14ac:dyDescent="0.25">
      <c r="A2069" s="2">
        <v>2068</v>
      </c>
      <c r="B2069" s="3">
        <v>10747</v>
      </c>
      <c r="C2069" s="5" t="s">
        <v>3297</v>
      </c>
      <c r="D2069" s="5" t="s">
        <v>619</v>
      </c>
      <c r="E2069" s="5" t="s">
        <v>44</v>
      </c>
      <c r="F2069" s="3" t="s">
        <v>3298</v>
      </c>
      <c r="G2069" s="3" t="str">
        <f>"00279277"</f>
        <v>00279277</v>
      </c>
    </row>
    <row r="2070" spans="1:7" x14ac:dyDescent="0.25">
      <c r="A2070" s="2">
        <v>2069</v>
      </c>
      <c r="B2070" s="3">
        <v>10598</v>
      </c>
      <c r="C2070" s="5" t="s">
        <v>2355</v>
      </c>
      <c r="D2070" s="5" t="s">
        <v>52</v>
      </c>
      <c r="E2070" s="5" t="s">
        <v>4851</v>
      </c>
      <c r="F2070" s="3" t="s">
        <v>2356</v>
      </c>
      <c r="G2070" s="3" t="str">
        <f>"01014916"</f>
        <v>01014916</v>
      </c>
    </row>
    <row r="2071" spans="1:7" x14ac:dyDescent="0.25">
      <c r="A2071" s="2">
        <v>2070</v>
      </c>
      <c r="B2071" s="3">
        <v>429</v>
      </c>
      <c r="C2071" s="5" t="s">
        <v>605</v>
      </c>
      <c r="D2071" s="5" t="s">
        <v>604</v>
      </c>
      <c r="E2071" s="5" t="s">
        <v>4799</v>
      </c>
      <c r="F2071" s="3" t="s">
        <v>606</v>
      </c>
      <c r="G2071" s="3" t="str">
        <f>"00848288"</f>
        <v>00848288</v>
      </c>
    </row>
    <row r="2072" spans="1:7" x14ac:dyDescent="0.25">
      <c r="A2072" s="2">
        <v>2071</v>
      </c>
      <c r="B2072" s="3">
        <v>6797</v>
      </c>
      <c r="C2072" s="5" t="s">
        <v>605</v>
      </c>
      <c r="D2072" s="5" t="s">
        <v>129</v>
      </c>
      <c r="E2072" s="5" t="s">
        <v>4799</v>
      </c>
      <c r="F2072" s="3" t="s">
        <v>2224</v>
      </c>
      <c r="G2072" s="3" t="str">
        <f>"00755459"</f>
        <v>00755459</v>
      </c>
    </row>
    <row r="2073" spans="1:7" x14ac:dyDescent="0.25">
      <c r="A2073" s="2">
        <v>2072</v>
      </c>
      <c r="B2073" s="3">
        <v>12693</v>
      </c>
      <c r="C2073" s="5" t="s">
        <v>1623</v>
      </c>
      <c r="D2073" s="5" t="s">
        <v>162</v>
      </c>
      <c r="E2073" s="5" t="s">
        <v>44</v>
      </c>
      <c r="F2073" s="3" t="s">
        <v>1624</v>
      </c>
      <c r="G2073" s="3" t="str">
        <f>"00788188"</f>
        <v>00788188</v>
      </c>
    </row>
    <row r="2074" spans="1:7" x14ac:dyDescent="0.25">
      <c r="A2074" s="2">
        <v>2073</v>
      </c>
      <c r="B2074" s="3">
        <v>9141</v>
      </c>
      <c r="C2074" s="5" t="s">
        <v>1623</v>
      </c>
      <c r="D2074" s="5" t="s">
        <v>830</v>
      </c>
      <c r="E2074" s="5" t="s">
        <v>87</v>
      </c>
      <c r="F2074" s="3" t="s">
        <v>2454</v>
      </c>
      <c r="G2074" s="3" t="str">
        <f>"00279179"</f>
        <v>00279179</v>
      </c>
    </row>
    <row r="2075" spans="1:7" x14ac:dyDescent="0.25">
      <c r="A2075" s="2">
        <v>2074</v>
      </c>
      <c r="B2075" s="3">
        <v>1115</v>
      </c>
      <c r="C2075" s="5" t="s">
        <v>136</v>
      </c>
      <c r="D2075" s="5" t="s">
        <v>135</v>
      </c>
      <c r="E2075" s="5" t="s">
        <v>52</v>
      </c>
      <c r="F2075" s="3" t="s">
        <v>137</v>
      </c>
      <c r="G2075" s="3" t="str">
        <f>"00447288"</f>
        <v>00447288</v>
      </c>
    </row>
    <row r="2076" spans="1:7" x14ac:dyDescent="0.25">
      <c r="A2076" s="2">
        <v>2075</v>
      </c>
      <c r="B2076" s="3">
        <v>7986</v>
      </c>
      <c r="C2076" s="5" t="s">
        <v>3177</v>
      </c>
      <c r="D2076" s="5" t="s">
        <v>252</v>
      </c>
      <c r="E2076" s="5" t="s">
        <v>35</v>
      </c>
      <c r="F2076" s="3" t="s">
        <v>3178</v>
      </c>
      <c r="G2076" s="3" t="str">
        <f>"00991624"</f>
        <v>00991624</v>
      </c>
    </row>
    <row r="2077" spans="1:7" x14ac:dyDescent="0.25">
      <c r="A2077" s="2">
        <v>2076</v>
      </c>
      <c r="B2077" s="3">
        <v>11676</v>
      </c>
      <c r="C2077" s="5" t="s">
        <v>1758</v>
      </c>
      <c r="D2077" s="5" t="s">
        <v>44</v>
      </c>
      <c r="E2077" s="5" t="s">
        <v>14</v>
      </c>
      <c r="F2077" s="3">
        <v>284157026</v>
      </c>
      <c r="G2077" s="3" t="str">
        <f>"01010817"</f>
        <v>01010817</v>
      </c>
    </row>
    <row r="2078" spans="1:7" x14ac:dyDescent="0.25">
      <c r="A2078" s="2">
        <v>2077</v>
      </c>
      <c r="B2078" s="3">
        <v>3125</v>
      </c>
      <c r="C2078" s="5" t="s">
        <v>1758</v>
      </c>
      <c r="D2078" s="5" t="s">
        <v>3509</v>
      </c>
      <c r="E2078" s="5" t="s">
        <v>284</v>
      </c>
      <c r="F2078" s="3" t="s">
        <v>3510</v>
      </c>
      <c r="G2078" s="3" t="str">
        <f>"00828485"</f>
        <v>00828485</v>
      </c>
    </row>
    <row r="2079" spans="1:7" x14ac:dyDescent="0.25">
      <c r="A2079" s="2">
        <v>2078</v>
      </c>
      <c r="B2079" s="3">
        <v>2564</v>
      </c>
      <c r="C2079" s="5" t="s">
        <v>2110</v>
      </c>
      <c r="D2079" s="5" t="s">
        <v>2109</v>
      </c>
      <c r="E2079" s="5" t="s">
        <v>5</v>
      </c>
      <c r="F2079" s="3" t="s">
        <v>2111</v>
      </c>
      <c r="G2079" s="3" t="str">
        <f>"00475737"</f>
        <v>00475737</v>
      </c>
    </row>
    <row r="2080" spans="1:7" x14ac:dyDescent="0.25">
      <c r="A2080" s="2">
        <v>2079</v>
      </c>
      <c r="B2080" s="3">
        <v>2405</v>
      </c>
      <c r="C2080" s="5" t="s">
        <v>1108</v>
      </c>
      <c r="D2080" s="5" t="s">
        <v>1107</v>
      </c>
      <c r="E2080" s="5" t="s">
        <v>87</v>
      </c>
      <c r="F2080" s="3" t="s">
        <v>1109</v>
      </c>
      <c r="G2080" s="3" t="str">
        <f>"00443895"</f>
        <v>00443895</v>
      </c>
    </row>
    <row r="2081" spans="1:7" x14ac:dyDescent="0.25">
      <c r="A2081" s="2">
        <v>2080</v>
      </c>
      <c r="B2081" s="3">
        <v>6235</v>
      </c>
      <c r="C2081" s="5" t="s">
        <v>1674</v>
      </c>
      <c r="D2081" s="5" t="s">
        <v>1432</v>
      </c>
      <c r="E2081" s="5" t="s">
        <v>252</v>
      </c>
      <c r="F2081" s="3" t="s">
        <v>1675</v>
      </c>
      <c r="G2081" s="3" t="str">
        <f>"01008210"</f>
        <v>01008210</v>
      </c>
    </row>
    <row r="2082" spans="1:7" x14ac:dyDescent="0.25">
      <c r="A2082" s="2">
        <v>2081</v>
      </c>
      <c r="B2082" s="3">
        <v>3725</v>
      </c>
      <c r="C2082" s="5" t="s">
        <v>300</v>
      </c>
      <c r="D2082" s="5" t="s">
        <v>27</v>
      </c>
      <c r="E2082" s="5" t="s">
        <v>667</v>
      </c>
      <c r="F2082" s="3" t="s">
        <v>301</v>
      </c>
      <c r="G2082" s="3" t="str">
        <f>"01012079"</f>
        <v>01012079</v>
      </c>
    </row>
    <row r="2083" spans="1:7" x14ac:dyDescent="0.25">
      <c r="A2083" s="2">
        <v>2082</v>
      </c>
      <c r="B2083" s="3">
        <v>4516</v>
      </c>
      <c r="C2083" s="5" t="s">
        <v>474</v>
      </c>
      <c r="D2083" s="5" t="s">
        <v>63</v>
      </c>
      <c r="E2083" s="5" t="s">
        <v>113</v>
      </c>
      <c r="F2083" s="3" t="s">
        <v>475</v>
      </c>
      <c r="G2083" s="3" t="str">
        <f>"00448464"</f>
        <v>00448464</v>
      </c>
    </row>
    <row r="2084" spans="1:7" x14ac:dyDescent="0.25">
      <c r="A2084" s="2">
        <v>2083</v>
      </c>
      <c r="B2084" s="3">
        <v>3075</v>
      </c>
      <c r="C2084" s="5" t="s">
        <v>1828</v>
      </c>
      <c r="D2084" s="5" t="s">
        <v>44</v>
      </c>
      <c r="E2084" s="5" t="s">
        <v>2033</v>
      </c>
      <c r="F2084" s="3" t="s">
        <v>1829</v>
      </c>
      <c r="G2084" s="3" t="str">
        <f>"00989278"</f>
        <v>00989278</v>
      </c>
    </row>
    <row r="2085" spans="1:7" x14ac:dyDescent="0.25">
      <c r="A2085" s="2">
        <v>2084</v>
      </c>
      <c r="B2085" s="3">
        <v>7742</v>
      </c>
      <c r="C2085" s="5" t="s">
        <v>493</v>
      </c>
      <c r="D2085" s="5" t="s">
        <v>5</v>
      </c>
      <c r="E2085" s="5" t="s">
        <v>87</v>
      </c>
      <c r="F2085" s="3" t="s">
        <v>494</v>
      </c>
      <c r="G2085" s="3" t="str">
        <f>"01016427"</f>
        <v>01016427</v>
      </c>
    </row>
    <row r="2086" spans="1:7" x14ac:dyDescent="0.25">
      <c r="A2086" s="2">
        <v>2085</v>
      </c>
      <c r="B2086" s="3">
        <v>5514</v>
      </c>
      <c r="C2086" s="5" t="s">
        <v>4141</v>
      </c>
      <c r="D2086" s="5" t="s">
        <v>776</v>
      </c>
      <c r="E2086" s="5" t="s">
        <v>129</v>
      </c>
      <c r="F2086" s="3" t="s">
        <v>4142</v>
      </c>
      <c r="G2086" s="3" t="str">
        <f>"00970823"</f>
        <v>00970823</v>
      </c>
    </row>
    <row r="2087" spans="1:7" x14ac:dyDescent="0.25">
      <c r="A2087" s="2">
        <v>2086</v>
      </c>
      <c r="B2087" s="3">
        <v>10982</v>
      </c>
      <c r="C2087" s="5" t="s">
        <v>1469</v>
      </c>
      <c r="D2087" s="5" t="s">
        <v>52</v>
      </c>
      <c r="E2087" s="5" t="s">
        <v>11</v>
      </c>
      <c r="F2087" s="3" t="s">
        <v>1470</v>
      </c>
      <c r="G2087" s="3" t="str">
        <f>"00441264"</f>
        <v>00441264</v>
      </c>
    </row>
    <row r="2088" spans="1:7" x14ac:dyDescent="0.25">
      <c r="A2088" s="2">
        <v>2087</v>
      </c>
      <c r="B2088" s="3">
        <v>4325</v>
      </c>
      <c r="C2088" s="5" t="s">
        <v>3192</v>
      </c>
      <c r="D2088" s="5" t="s">
        <v>24</v>
      </c>
      <c r="E2088" s="5" t="s">
        <v>5</v>
      </c>
      <c r="F2088" s="3" t="s">
        <v>3193</v>
      </c>
      <c r="G2088" s="3" t="str">
        <f>"00778259"</f>
        <v>00778259</v>
      </c>
    </row>
    <row r="2089" spans="1:7" x14ac:dyDescent="0.25">
      <c r="A2089" s="2">
        <v>2088</v>
      </c>
      <c r="B2089" s="3">
        <v>12054</v>
      </c>
      <c r="C2089" s="5" t="s">
        <v>849</v>
      </c>
      <c r="D2089" s="5" t="s">
        <v>27</v>
      </c>
      <c r="E2089" s="5" t="s">
        <v>87</v>
      </c>
      <c r="F2089" s="3" t="s">
        <v>850</v>
      </c>
      <c r="G2089" s="3" t="str">
        <f>"01012301"</f>
        <v>01012301</v>
      </c>
    </row>
    <row r="2090" spans="1:7" x14ac:dyDescent="0.25">
      <c r="A2090" s="2">
        <v>2089</v>
      </c>
      <c r="B2090" s="3">
        <v>22</v>
      </c>
      <c r="C2090" s="5" t="s">
        <v>4098</v>
      </c>
      <c r="D2090" s="5" t="s">
        <v>4097</v>
      </c>
      <c r="E2090" s="5" t="s">
        <v>87</v>
      </c>
      <c r="F2090" s="3" t="s">
        <v>4099</v>
      </c>
      <c r="G2090" s="3" t="str">
        <f>"00972875"</f>
        <v>00972875</v>
      </c>
    </row>
    <row r="2091" spans="1:7" x14ac:dyDescent="0.25">
      <c r="A2091" s="2">
        <v>2090</v>
      </c>
      <c r="B2091" s="3">
        <v>11204</v>
      </c>
      <c r="C2091" s="5" t="s">
        <v>2912</v>
      </c>
      <c r="D2091" s="5" t="s">
        <v>14</v>
      </c>
      <c r="E2091" s="5" t="s">
        <v>184</v>
      </c>
      <c r="F2091" s="3" t="s">
        <v>2913</v>
      </c>
      <c r="G2091" s="3" t="str">
        <f>"00456188"</f>
        <v>00456188</v>
      </c>
    </row>
    <row r="2092" spans="1:7" x14ac:dyDescent="0.25">
      <c r="A2092" s="2">
        <v>2091</v>
      </c>
      <c r="B2092" s="3">
        <v>3761</v>
      </c>
      <c r="C2092" s="5" t="s">
        <v>3801</v>
      </c>
      <c r="D2092" s="5" t="s">
        <v>696</v>
      </c>
      <c r="E2092" s="5" t="s">
        <v>87</v>
      </c>
      <c r="F2092" s="3" t="s">
        <v>3802</v>
      </c>
      <c r="G2092" s="3" t="str">
        <f>"01016368"</f>
        <v>01016368</v>
      </c>
    </row>
    <row r="2093" spans="1:7" x14ac:dyDescent="0.25">
      <c r="A2093" s="2">
        <v>2092</v>
      </c>
      <c r="B2093" s="3">
        <v>2425</v>
      </c>
      <c r="C2093" s="5" t="s">
        <v>3729</v>
      </c>
      <c r="D2093" s="5" t="s">
        <v>44</v>
      </c>
      <c r="E2093" s="5" t="s">
        <v>87</v>
      </c>
      <c r="F2093" s="3" t="s">
        <v>3730</v>
      </c>
      <c r="G2093" s="3" t="str">
        <f>"00874852"</f>
        <v>00874852</v>
      </c>
    </row>
    <row r="2094" spans="1:7" x14ac:dyDescent="0.25">
      <c r="A2094" s="2">
        <v>2093</v>
      </c>
      <c r="B2094" s="3">
        <v>3411</v>
      </c>
      <c r="C2094" s="5" t="s">
        <v>3729</v>
      </c>
      <c r="D2094" s="5" t="s">
        <v>107</v>
      </c>
      <c r="E2094" s="5" t="s">
        <v>70</v>
      </c>
      <c r="F2094" s="3" t="s">
        <v>4265</v>
      </c>
      <c r="G2094" s="3" t="str">
        <f>"01016992"</f>
        <v>01016992</v>
      </c>
    </row>
    <row r="2095" spans="1:7" x14ac:dyDescent="0.25">
      <c r="A2095" s="2">
        <v>2094</v>
      </c>
      <c r="B2095" s="3">
        <v>4891</v>
      </c>
      <c r="C2095" s="5" t="s">
        <v>3960</v>
      </c>
      <c r="D2095" s="5" t="s">
        <v>129</v>
      </c>
      <c r="E2095" s="5" t="s">
        <v>44</v>
      </c>
      <c r="F2095" s="3" t="s">
        <v>3961</v>
      </c>
      <c r="G2095" s="3" t="str">
        <f>"01016471"</f>
        <v>01016471</v>
      </c>
    </row>
    <row r="2096" spans="1:7" x14ac:dyDescent="0.25">
      <c r="A2096" s="2">
        <v>2095</v>
      </c>
      <c r="B2096" s="3">
        <v>3301</v>
      </c>
      <c r="C2096" s="5" t="s">
        <v>1941</v>
      </c>
      <c r="D2096" s="5" t="s">
        <v>622</v>
      </c>
      <c r="E2096" s="5" t="s">
        <v>44</v>
      </c>
      <c r="F2096" s="3" t="s">
        <v>1942</v>
      </c>
      <c r="G2096" s="3" t="str">
        <f>"00985522"</f>
        <v>00985522</v>
      </c>
    </row>
    <row r="2097" spans="1:7" x14ac:dyDescent="0.25">
      <c r="A2097" s="2">
        <v>2096</v>
      </c>
      <c r="B2097" s="3">
        <v>4634</v>
      </c>
      <c r="C2097" s="5" t="s">
        <v>4412</v>
      </c>
      <c r="D2097" s="5" t="s">
        <v>2786</v>
      </c>
      <c r="E2097" s="5" t="s">
        <v>87</v>
      </c>
      <c r="F2097" s="3" t="s">
        <v>4413</v>
      </c>
      <c r="G2097" s="3" t="str">
        <f>"00295922"</f>
        <v>00295922</v>
      </c>
    </row>
    <row r="2098" spans="1:7" x14ac:dyDescent="0.25">
      <c r="A2098" s="2">
        <v>2097</v>
      </c>
      <c r="B2098" s="3">
        <v>843</v>
      </c>
      <c r="C2098" s="5" t="s">
        <v>2198</v>
      </c>
      <c r="D2098" s="5" t="s">
        <v>32</v>
      </c>
      <c r="E2098" s="5" t="s">
        <v>44</v>
      </c>
      <c r="F2098" s="3" t="s">
        <v>2199</v>
      </c>
      <c r="G2098" s="3" t="str">
        <f>"00449082"</f>
        <v>00449082</v>
      </c>
    </row>
    <row r="2099" spans="1:7" x14ac:dyDescent="0.25">
      <c r="A2099" s="2">
        <v>2098</v>
      </c>
      <c r="B2099" s="3">
        <v>4986</v>
      </c>
      <c r="C2099" s="5" t="s">
        <v>1157</v>
      </c>
      <c r="D2099" s="5" t="s">
        <v>129</v>
      </c>
      <c r="E2099" s="5" t="s">
        <v>3932</v>
      </c>
      <c r="F2099" s="3" t="s">
        <v>1158</v>
      </c>
      <c r="G2099" s="3" t="str">
        <f>"00985371"</f>
        <v>00985371</v>
      </c>
    </row>
    <row r="2100" spans="1:7" x14ac:dyDescent="0.25">
      <c r="A2100" s="2">
        <v>2099</v>
      </c>
      <c r="B2100" s="3">
        <v>1950</v>
      </c>
      <c r="C2100" s="5" t="s">
        <v>4694</v>
      </c>
      <c r="D2100" s="5" t="s">
        <v>4693</v>
      </c>
      <c r="E2100" s="5" t="s">
        <v>82</v>
      </c>
      <c r="F2100" s="3" t="s">
        <v>4695</v>
      </c>
      <c r="G2100" s="3" t="str">
        <f>"00874170"</f>
        <v>00874170</v>
      </c>
    </row>
    <row r="2101" spans="1:7" x14ac:dyDescent="0.25">
      <c r="A2101" s="2">
        <v>2100</v>
      </c>
      <c r="B2101" s="3">
        <v>3495</v>
      </c>
      <c r="C2101" s="5" t="s">
        <v>1084</v>
      </c>
      <c r="D2101" s="5" t="s">
        <v>126</v>
      </c>
      <c r="E2101" s="5" t="s">
        <v>667</v>
      </c>
      <c r="F2101" s="3" t="s">
        <v>1085</v>
      </c>
      <c r="G2101" s="3" t="str">
        <f>"00831073"</f>
        <v>00831073</v>
      </c>
    </row>
    <row r="2102" spans="1:7" x14ac:dyDescent="0.25">
      <c r="A2102" s="2">
        <v>2101</v>
      </c>
      <c r="B2102" s="3">
        <v>5845</v>
      </c>
      <c r="C2102" s="5" t="s">
        <v>4115</v>
      </c>
      <c r="D2102" s="5" t="s">
        <v>1798</v>
      </c>
      <c r="E2102" s="5" t="s">
        <v>252</v>
      </c>
      <c r="F2102" s="3" t="s">
        <v>4116</v>
      </c>
      <c r="G2102" s="3" t="str">
        <f>"00355816"</f>
        <v>00355816</v>
      </c>
    </row>
    <row r="2103" spans="1:7" x14ac:dyDescent="0.25">
      <c r="A2103" s="2">
        <v>2102</v>
      </c>
      <c r="B2103" s="3">
        <v>4925</v>
      </c>
      <c r="C2103" s="5" t="s">
        <v>2775</v>
      </c>
      <c r="D2103" s="5" t="s">
        <v>2774</v>
      </c>
      <c r="E2103" s="5" t="s">
        <v>87</v>
      </c>
      <c r="F2103" s="3" t="s">
        <v>2776</v>
      </c>
      <c r="G2103" s="3" t="str">
        <f>"00486350"</f>
        <v>00486350</v>
      </c>
    </row>
    <row r="2104" spans="1:7" x14ac:dyDescent="0.25">
      <c r="A2104" s="2">
        <v>2103</v>
      </c>
      <c r="B2104" s="3">
        <v>2762</v>
      </c>
      <c r="C2104" s="5" t="s">
        <v>1842</v>
      </c>
      <c r="D2104" s="5" t="s">
        <v>667</v>
      </c>
      <c r="E2104" s="5" t="s">
        <v>44</v>
      </c>
      <c r="F2104" s="3">
        <v>2740045</v>
      </c>
      <c r="G2104" s="3" t="str">
        <f>"01015321"</f>
        <v>01015321</v>
      </c>
    </row>
    <row r="2105" spans="1:7" x14ac:dyDescent="0.25">
      <c r="A2105" s="2">
        <v>2104</v>
      </c>
      <c r="B2105" s="3">
        <v>2138</v>
      </c>
      <c r="C2105" s="5" t="s">
        <v>2970</v>
      </c>
      <c r="D2105" s="5" t="s">
        <v>52</v>
      </c>
      <c r="E2105" s="5" t="s">
        <v>14</v>
      </c>
      <c r="F2105" s="3" t="s">
        <v>2971</v>
      </c>
      <c r="G2105" s="3" t="str">
        <f>"00986325"</f>
        <v>00986325</v>
      </c>
    </row>
    <row r="2106" spans="1:7" x14ac:dyDescent="0.25">
      <c r="A2106" s="2">
        <v>2105</v>
      </c>
      <c r="B2106" s="3">
        <v>5270</v>
      </c>
      <c r="C2106" s="5" t="s">
        <v>4736</v>
      </c>
      <c r="D2106" s="5" t="s">
        <v>619</v>
      </c>
      <c r="E2106" s="5" t="s">
        <v>113</v>
      </c>
      <c r="F2106" s="3" t="s">
        <v>4737</v>
      </c>
      <c r="G2106" s="3" t="str">
        <f>"00928910"</f>
        <v>00928910</v>
      </c>
    </row>
    <row r="2107" spans="1:7" x14ac:dyDescent="0.25">
      <c r="A2107" s="2">
        <v>2106</v>
      </c>
      <c r="B2107" s="3">
        <v>721</v>
      </c>
      <c r="C2107" s="5" t="s">
        <v>636</v>
      </c>
      <c r="D2107" s="5" t="s">
        <v>635</v>
      </c>
      <c r="E2107" s="5" t="s">
        <v>5</v>
      </c>
      <c r="F2107" s="3" t="s">
        <v>637</v>
      </c>
      <c r="G2107" s="3" t="str">
        <f>"01012352"</f>
        <v>01012352</v>
      </c>
    </row>
    <row r="2108" spans="1:7" x14ac:dyDescent="0.25">
      <c r="A2108" s="2">
        <v>2107</v>
      </c>
      <c r="B2108" s="3">
        <v>1985</v>
      </c>
      <c r="C2108" s="5" t="s">
        <v>636</v>
      </c>
      <c r="D2108" s="5" t="s">
        <v>2204</v>
      </c>
      <c r="E2108" s="5" t="s">
        <v>44</v>
      </c>
      <c r="F2108" s="3" t="s">
        <v>4761</v>
      </c>
      <c r="G2108" s="3" t="str">
        <f>"00977802"</f>
        <v>00977802</v>
      </c>
    </row>
    <row r="2109" spans="1:7" x14ac:dyDescent="0.25">
      <c r="A2109" s="2">
        <v>2108</v>
      </c>
      <c r="B2109" s="3">
        <v>9514</v>
      </c>
      <c r="C2109" s="5" t="s">
        <v>4360</v>
      </c>
      <c r="D2109" s="5" t="s">
        <v>545</v>
      </c>
      <c r="E2109" s="5" t="s">
        <v>2017</v>
      </c>
      <c r="F2109" s="3" t="s">
        <v>4361</v>
      </c>
      <c r="G2109" s="3" t="str">
        <f>"00845689"</f>
        <v>00845689</v>
      </c>
    </row>
    <row r="2110" spans="1:7" x14ac:dyDescent="0.25">
      <c r="A2110" s="2">
        <v>2109</v>
      </c>
      <c r="B2110" s="3">
        <v>9774</v>
      </c>
      <c r="C2110" s="5" t="s">
        <v>764</v>
      </c>
      <c r="D2110" s="5" t="s">
        <v>763</v>
      </c>
      <c r="E2110" s="5" t="s">
        <v>135</v>
      </c>
      <c r="F2110" s="3" t="s">
        <v>765</v>
      </c>
      <c r="G2110" s="3" t="str">
        <f>"01012519"</f>
        <v>01012519</v>
      </c>
    </row>
    <row r="2111" spans="1:7" x14ac:dyDescent="0.25">
      <c r="A2111" s="2">
        <v>2110</v>
      </c>
      <c r="B2111" s="3">
        <v>7220</v>
      </c>
      <c r="C2111" s="5" t="s">
        <v>835</v>
      </c>
      <c r="D2111" s="5" t="s">
        <v>87</v>
      </c>
      <c r="E2111" s="5" t="s">
        <v>4805</v>
      </c>
      <c r="F2111" s="3" t="s">
        <v>836</v>
      </c>
      <c r="G2111" s="3" t="str">
        <f>"00650863"</f>
        <v>00650863</v>
      </c>
    </row>
    <row r="2112" spans="1:7" x14ac:dyDescent="0.25">
      <c r="A2112" s="2">
        <v>2111</v>
      </c>
      <c r="B2112" s="3">
        <v>10975</v>
      </c>
      <c r="C2112" s="5" t="s">
        <v>2734</v>
      </c>
      <c r="D2112" s="5" t="s">
        <v>2733</v>
      </c>
      <c r="E2112" s="5" t="s">
        <v>4809</v>
      </c>
      <c r="F2112" s="3" t="s">
        <v>2735</v>
      </c>
      <c r="G2112" s="3" t="str">
        <f>"01017215"</f>
        <v>01017215</v>
      </c>
    </row>
    <row r="2113" spans="1:7" x14ac:dyDescent="0.25">
      <c r="A2113" s="2">
        <v>2112</v>
      </c>
      <c r="B2113" s="3">
        <v>3537</v>
      </c>
      <c r="C2113" s="5" t="s">
        <v>1601</v>
      </c>
      <c r="D2113" s="5" t="s">
        <v>87</v>
      </c>
      <c r="E2113" s="5" t="s">
        <v>284</v>
      </c>
      <c r="F2113" s="3" t="s">
        <v>1602</v>
      </c>
      <c r="G2113" s="3" t="str">
        <f>"01011596"</f>
        <v>01011596</v>
      </c>
    </row>
    <row r="2114" spans="1:7" x14ac:dyDescent="0.25">
      <c r="A2114" s="2">
        <v>2113</v>
      </c>
      <c r="B2114" s="3">
        <v>835</v>
      </c>
      <c r="C2114" s="5" t="s">
        <v>3650</v>
      </c>
      <c r="D2114" s="5" t="s">
        <v>162</v>
      </c>
      <c r="E2114" s="5" t="s">
        <v>284</v>
      </c>
      <c r="F2114" s="3" t="s">
        <v>3651</v>
      </c>
      <c r="G2114" s="3" t="str">
        <f>"00470510"</f>
        <v>00470510</v>
      </c>
    </row>
    <row r="2115" spans="1:7" x14ac:dyDescent="0.25">
      <c r="A2115" s="2">
        <v>2114</v>
      </c>
      <c r="B2115" s="3">
        <v>2438</v>
      </c>
      <c r="C2115" s="5" t="s">
        <v>4282</v>
      </c>
      <c r="D2115" s="5" t="s">
        <v>32</v>
      </c>
      <c r="E2115" s="5" t="s">
        <v>35</v>
      </c>
      <c r="F2115" s="3" t="s">
        <v>4283</v>
      </c>
      <c r="G2115" s="3" t="str">
        <f>"00148919"</f>
        <v>00148919</v>
      </c>
    </row>
    <row r="2116" spans="1:7" x14ac:dyDescent="0.25">
      <c r="A2116" s="2">
        <v>2115</v>
      </c>
      <c r="B2116" s="3">
        <v>10117</v>
      </c>
      <c r="C2116" s="5" t="s">
        <v>767</v>
      </c>
      <c r="D2116" s="5" t="s">
        <v>766</v>
      </c>
      <c r="E2116" s="5" t="s">
        <v>70</v>
      </c>
      <c r="F2116" s="3" t="s">
        <v>768</v>
      </c>
      <c r="G2116" s="3" t="str">
        <f>"01016414"</f>
        <v>01016414</v>
      </c>
    </row>
    <row r="2117" spans="1:7" x14ac:dyDescent="0.25">
      <c r="A2117" s="2">
        <v>2116</v>
      </c>
      <c r="B2117" s="3">
        <v>12521</v>
      </c>
      <c r="C2117" s="5" t="s">
        <v>4163</v>
      </c>
      <c r="D2117" s="5" t="s">
        <v>87</v>
      </c>
      <c r="E2117" s="5" t="s">
        <v>11</v>
      </c>
      <c r="F2117" s="3" t="s">
        <v>4164</v>
      </c>
      <c r="G2117" s="3" t="str">
        <f>"00140437"</f>
        <v>00140437</v>
      </c>
    </row>
    <row r="2118" spans="1:7" x14ac:dyDescent="0.25">
      <c r="A2118" s="2">
        <v>2117</v>
      </c>
      <c r="B2118" s="3">
        <v>10193</v>
      </c>
      <c r="C2118" s="5" t="s">
        <v>2129</v>
      </c>
      <c r="D2118" s="5" t="s">
        <v>35</v>
      </c>
      <c r="E2118" s="5" t="s">
        <v>4845</v>
      </c>
      <c r="F2118" s="3" t="s">
        <v>2130</v>
      </c>
      <c r="G2118" s="3" t="str">
        <f>"201504001701"</f>
        <v>201504001701</v>
      </c>
    </row>
    <row r="2119" spans="1:7" x14ac:dyDescent="0.25">
      <c r="A2119" s="2">
        <v>2118</v>
      </c>
      <c r="B2119" s="3">
        <v>590</v>
      </c>
      <c r="C2119" s="5" t="s">
        <v>1817</v>
      </c>
      <c r="D2119" s="5" t="s">
        <v>1816</v>
      </c>
      <c r="E2119" s="5" t="s">
        <v>11</v>
      </c>
      <c r="F2119" s="3" t="s">
        <v>1818</v>
      </c>
      <c r="G2119" s="3" t="str">
        <f>"00877121"</f>
        <v>00877121</v>
      </c>
    </row>
    <row r="2120" spans="1:7" x14ac:dyDescent="0.25">
      <c r="A2120" s="2">
        <v>2119</v>
      </c>
      <c r="B2120" s="3">
        <v>766</v>
      </c>
      <c r="C2120" s="5" t="s">
        <v>2768</v>
      </c>
      <c r="D2120" s="5" t="s">
        <v>644</v>
      </c>
      <c r="E2120" s="5" t="s">
        <v>107</v>
      </c>
      <c r="F2120" s="3" t="s">
        <v>2769</v>
      </c>
      <c r="G2120" s="3" t="str">
        <f>"00776297"</f>
        <v>00776297</v>
      </c>
    </row>
    <row r="2121" spans="1:7" x14ac:dyDescent="0.25">
      <c r="A2121" s="2">
        <v>2120</v>
      </c>
      <c r="B2121" s="3">
        <v>2430</v>
      </c>
      <c r="C2121" s="5" t="s">
        <v>1867</v>
      </c>
      <c r="D2121" s="5" t="s">
        <v>198</v>
      </c>
      <c r="E2121" s="5" t="s">
        <v>87</v>
      </c>
      <c r="F2121" s="3" t="s">
        <v>1868</v>
      </c>
      <c r="G2121" s="3" t="str">
        <f>"00817812"</f>
        <v>00817812</v>
      </c>
    </row>
    <row r="2122" spans="1:7" x14ac:dyDescent="0.25">
      <c r="A2122" s="2">
        <v>2121</v>
      </c>
      <c r="B2122" s="3">
        <v>11372</v>
      </c>
      <c r="C2122" s="5" t="s">
        <v>4129</v>
      </c>
      <c r="D2122" s="5" t="s">
        <v>52</v>
      </c>
      <c r="E2122" s="5" t="s">
        <v>87</v>
      </c>
      <c r="F2122" s="3">
        <v>2013740</v>
      </c>
      <c r="G2122" s="3" t="str">
        <f>"00549881"</f>
        <v>00549881</v>
      </c>
    </row>
    <row r="2123" spans="1:7" x14ac:dyDescent="0.25">
      <c r="A2123" s="2">
        <v>2122</v>
      </c>
      <c r="B2123" s="3">
        <v>1429</v>
      </c>
      <c r="C2123" s="5" t="s">
        <v>4634</v>
      </c>
      <c r="D2123" s="5" t="s">
        <v>32</v>
      </c>
      <c r="E2123" s="5" t="s">
        <v>129</v>
      </c>
      <c r="F2123" s="3" t="s">
        <v>4635</v>
      </c>
      <c r="G2123" s="3" t="str">
        <f>"00908647"</f>
        <v>00908647</v>
      </c>
    </row>
    <row r="2124" spans="1:7" x14ac:dyDescent="0.25">
      <c r="A2124" s="2">
        <v>2123</v>
      </c>
      <c r="B2124" s="3">
        <v>1286</v>
      </c>
      <c r="C2124" s="5" t="s">
        <v>3275</v>
      </c>
      <c r="D2124" s="5" t="s">
        <v>32</v>
      </c>
      <c r="E2124" s="5" t="s">
        <v>87</v>
      </c>
      <c r="F2124" s="3" t="s">
        <v>3276</v>
      </c>
      <c r="G2124" s="3" t="str">
        <f>"00019085"</f>
        <v>00019085</v>
      </c>
    </row>
    <row r="2125" spans="1:7" x14ac:dyDescent="0.25">
      <c r="A2125" s="2">
        <v>2124</v>
      </c>
      <c r="B2125" s="3">
        <v>2423</v>
      </c>
      <c r="C2125" s="5" t="s">
        <v>2532</v>
      </c>
      <c r="D2125" s="5" t="s">
        <v>2020</v>
      </c>
      <c r="E2125" s="5" t="s">
        <v>14</v>
      </c>
      <c r="F2125" s="3" t="s">
        <v>2533</v>
      </c>
      <c r="G2125" s="3" t="str">
        <f>"00313652"</f>
        <v>00313652</v>
      </c>
    </row>
    <row r="2126" spans="1:7" x14ac:dyDescent="0.25">
      <c r="A2126" s="2">
        <v>2125</v>
      </c>
      <c r="B2126" s="3">
        <v>12520</v>
      </c>
      <c r="C2126" s="5" t="s">
        <v>528</v>
      </c>
      <c r="D2126" s="5" t="s">
        <v>159</v>
      </c>
      <c r="E2126" s="5" t="s">
        <v>87</v>
      </c>
      <c r="F2126" s="3" t="s">
        <v>529</v>
      </c>
      <c r="G2126" s="3" t="str">
        <f>"00189411"</f>
        <v>00189411</v>
      </c>
    </row>
    <row r="2127" spans="1:7" x14ac:dyDescent="0.25">
      <c r="A2127" s="2">
        <v>2126</v>
      </c>
      <c r="B2127" s="3">
        <v>6592</v>
      </c>
      <c r="C2127" s="5" t="s">
        <v>2368</v>
      </c>
      <c r="D2127" s="5" t="s">
        <v>644</v>
      </c>
      <c r="E2127" s="5" t="s">
        <v>372</v>
      </c>
      <c r="F2127" s="3" t="s">
        <v>2369</v>
      </c>
      <c r="G2127" s="3" t="str">
        <f>"00506494"</f>
        <v>00506494</v>
      </c>
    </row>
    <row r="2128" spans="1:7" x14ac:dyDescent="0.25">
      <c r="A2128" s="2">
        <v>2127</v>
      </c>
      <c r="B2128" s="3">
        <v>9137</v>
      </c>
      <c r="C2128" s="5" t="s">
        <v>1467</v>
      </c>
      <c r="D2128" s="5" t="s">
        <v>1466</v>
      </c>
      <c r="E2128" s="5" t="s">
        <v>14</v>
      </c>
      <c r="F2128" s="3" t="s">
        <v>1468</v>
      </c>
      <c r="G2128" s="3" t="str">
        <f>"201406000894"</f>
        <v>201406000894</v>
      </c>
    </row>
    <row r="2129" spans="1:7" x14ac:dyDescent="0.25">
      <c r="A2129" s="2">
        <v>2128</v>
      </c>
      <c r="B2129" s="3">
        <v>2811</v>
      </c>
      <c r="C2129" s="5" t="s">
        <v>2402</v>
      </c>
      <c r="D2129" s="5" t="s">
        <v>102</v>
      </c>
      <c r="E2129" s="5" t="s">
        <v>63</v>
      </c>
      <c r="F2129" s="3" t="s">
        <v>2403</v>
      </c>
      <c r="G2129" s="3" t="str">
        <f>"00974038"</f>
        <v>00974038</v>
      </c>
    </row>
    <row r="2130" spans="1:7" x14ac:dyDescent="0.25">
      <c r="A2130" s="2">
        <v>2129</v>
      </c>
      <c r="B2130" s="3">
        <v>5046</v>
      </c>
      <c r="C2130" s="5" t="s">
        <v>1129</v>
      </c>
      <c r="D2130" s="5" t="s">
        <v>32</v>
      </c>
      <c r="E2130" s="5" t="s">
        <v>52</v>
      </c>
      <c r="F2130" s="3" t="s">
        <v>1130</v>
      </c>
      <c r="G2130" s="3" t="str">
        <f>"01014609"</f>
        <v>01014609</v>
      </c>
    </row>
    <row r="2131" spans="1:7" x14ac:dyDescent="0.25">
      <c r="A2131" s="2">
        <v>2130</v>
      </c>
      <c r="B2131" s="3">
        <v>2143</v>
      </c>
      <c r="C2131" s="5" t="s">
        <v>1664</v>
      </c>
      <c r="D2131" s="5" t="s">
        <v>113</v>
      </c>
      <c r="E2131" s="5" t="s">
        <v>752</v>
      </c>
      <c r="F2131" s="3">
        <v>287958</v>
      </c>
      <c r="G2131" s="3" t="str">
        <f>"00665129"</f>
        <v>00665129</v>
      </c>
    </row>
    <row r="2132" spans="1:7" x14ac:dyDescent="0.25">
      <c r="A2132" s="2">
        <v>2131</v>
      </c>
      <c r="B2132" s="3">
        <v>5507</v>
      </c>
      <c r="C2132" s="5" t="s">
        <v>655</v>
      </c>
      <c r="D2132" s="5" t="s">
        <v>654</v>
      </c>
      <c r="E2132" s="5" t="s">
        <v>82</v>
      </c>
      <c r="F2132" s="3" t="s">
        <v>656</v>
      </c>
      <c r="G2132" s="3" t="str">
        <f>"201412006736"</f>
        <v>201412006736</v>
      </c>
    </row>
    <row r="2133" spans="1:7" x14ac:dyDescent="0.25">
      <c r="A2133" s="2">
        <v>2132</v>
      </c>
      <c r="B2133" s="3">
        <v>1021</v>
      </c>
      <c r="C2133" s="5" t="s">
        <v>4369</v>
      </c>
      <c r="D2133" s="5" t="s">
        <v>4368</v>
      </c>
      <c r="E2133" s="5" t="s">
        <v>11</v>
      </c>
      <c r="F2133" s="3" t="s">
        <v>4370</v>
      </c>
      <c r="G2133" s="3" t="str">
        <f>"201511017988"</f>
        <v>201511017988</v>
      </c>
    </row>
    <row r="2134" spans="1:7" x14ac:dyDescent="0.25">
      <c r="A2134" s="2">
        <v>2133</v>
      </c>
      <c r="B2134" s="3">
        <v>12193</v>
      </c>
      <c r="C2134" s="5" t="s">
        <v>80</v>
      </c>
      <c r="D2134" s="5" t="s">
        <v>79</v>
      </c>
      <c r="E2134" s="5" t="s">
        <v>207</v>
      </c>
      <c r="F2134" s="3" t="s">
        <v>81</v>
      </c>
      <c r="G2134" s="3" t="str">
        <f>"201410000869"</f>
        <v>201410000869</v>
      </c>
    </row>
    <row r="2135" spans="1:7" x14ac:dyDescent="0.25">
      <c r="A2135" s="2">
        <v>2134</v>
      </c>
      <c r="B2135" s="3">
        <v>12337</v>
      </c>
      <c r="C2135" s="5" t="s">
        <v>2792</v>
      </c>
      <c r="D2135" s="5" t="s">
        <v>2791</v>
      </c>
      <c r="E2135" s="5" t="s">
        <v>5</v>
      </c>
      <c r="F2135" s="3" t="s">
        <v>2793</v>
      </c>
      <c r="G2135" s="3" t="str">
        <f>"00024688"</f>
        <v>00024688</v>
      </c>
    </row>
    <row r="2136" spans="1:7" x14ac:dyDescent="0.25">
      <c r="A2136" s="2">
        <v>2135</v>
      </c>
      <c r="B2136" s="3">
        <v>9951</v>
      </c>
      <c r="C2136" s="5" t="s">
        <v>1353</v>
      </c>
      <c r="D2136" s="5" t="s">
        <v>1352</v>
      </c>
      <c r="E2136" s="5" t="s">
        <v>94</v>
      </c>
      <c r="F2136" s="3" t="s">
        <v>1354</v>
      </c>
      <c r="G2136" s="3" t="str">
        <f>"00984983"</f>
        <v>00984983</v>
      </c>
    </row>
    <row r="2137" spans="1:7" x14ac:dyDescent="0.25">
      <c r="A2137" s="2">
        <v>2136</v>
      </c>
      <c r="B2137" s="3">
        <v>4979</v>
      </c>
      <c r="C2137" s="5" t="s">
        <v>2631</v>
      </c>
      <c r="D2137" s="5" t="s">
        <v>2630</v>
      </c>
      <c r="E2137" s="5" t="s">
        <v>129</v>
      </c>
      <c r="F2137" s="3" t="s">
        <v>2632</v>
      </c>
      <c r="G2137" s="3" t="str">
        <f>"00409663"</f>
        <v>00409663</v>
      </c>
    </row>
    <row r="2138" spans="1:7" x14ac:dyDescent="0.25">
      <c r="A2138" s="2">
        <v>2137</v>
      </c>
      <c r="B2138" s="3">
        <v>2076</v>
      </c>
      <c r="C2138" s="5" t="s">
        <v>1448</v>
      </c>
      <c r="D2138" s="5" t="s">
        <v>1447</v>
      </c>
      <c r="E2138" s="5" t="s">
        <v>87</v>
      </c>
      <c r="F2138" s="3" t="s">
        <v>1449</v>
      </c>
      <c r="G2138" s="3" t="str">
        <f>"00166082"</f>
        <v>00166082</v>
      </c>
    </row>
    <row r="2139" spans="1:7" x14ac:dyDescent="0.25">
      <c r="A2139" s="2">
        <v>2138</v>
      </c>
      <c r="B2139" s="3">
        <v>12525</v>
      </c>
      <c r="C2139" s="5" t="s">
        <v>1881</v>
      </c>
      <c r="D2139" s="5" t="s">
        <v>545</v>
      </c>
      <c r="E2139" s="5" t="s">
        <v>94</v>
      </c>
      <c r="F2139" s="3" t="s">
        <v>1882</v>
      </c>
      <c r="G2139" s="3" t="str">
        <f>"00091353"</f>
        <v>00091353</v>
      </c>
    </row>
    <row r="2140" spans="1:7" x14ac:dyDescent="0.25">
      <c r="A2140" s="2">
        <v>2139</v>
      </c>
      <c r="B2140" s="3">
        <v>12119</v>
      </c>
      <c r="C2140" s="5" t="s">
        <v>2963</v>
      </c>
      <c r="D2140" s="5" t="s">
        <v>63</v>
      </c>
      <c r="E2140" s="5" t="s">
        <v>810</v>
      </c>
      <c r="F2140" s="3" t="s">
        <v>2964</v>
      </c>
      <c r="G2140" s="3" t="str">
        <f>"00983119"</f>
        <v>00983119</v>
      </c>
    </row>
    <row r="2141" spans="1:7" x14ac:dyDescent="0.25">
      <c r="A2141" s="2">
        <v>2140</v>
      </c>
      <c r="B2141" s="3">
        <v>3751</v>
      </c>
      <c r="C2141" s="5" t="s">
        <v>1017</v>
      </c>
      <c r="D2141" s="5" t="s">
        <v>1016</v>
      </c>
      <c r="E2141" s="5" t="s">
        <v>4811</v>
      </c>
      <c r="F2141" s="3">
        <v>1056773</v>
      </c>
      <c r="G2141" s="3" t="str">
        <f>"01014793"</f>
        <v>01014793</v>
      </c>
    </row>
    <row r="2142" spans="1:7" x14ac:dyDescent="0.25">
      <c r="A2142" s="2">
        <v>2141</v>
      </c>
      <c r="B2142" s="3">
        <v>12796</v>
      </c>
      <c r="C2142" s="5" t="s">
        <v>1976</v>
      </c>
      <c r="D2142" s="5" t="s">
        <v>14</v>
      </c>
      <c r="E2142" s="5" t="s">
        <v>4810</v>
      </c>
      <c r="F2142" s="3">
        <v>710205015</v>
      </c>
      <c r="G2142" s="3" t="str">
        <f>"00324966"</f>
        <v>00324966</v>
      </c>
    </row>
    <row r="2143" spans="1:7" x14ac:dyDescent="0.25">
      <c r="A2143" s="2">
        <v>2142</v>
      </c>
      <c r="B2143" s="3">
        <v>8450</v>
      </c>
      <c r="C2143" s="5" t="s">
        <v>1192</v>
      </c>
      <c r="D2143" s="5" t="s">
        <v>94</v>
      </c>
      <c r="E2143" s="5" t="s">
        <v>63</v>
      </c>
      <c r="F2143" s="3" t="s">
        <v>1193</v>
      </c>
      <c r="G2143" s="3" t="str">
        <f>"00981941"</f>
        <v>00981941</v>
      </c>
    </row>
    <row r="2144" spans="1:7" x14ac:dyDescent="0.25">
      <c r="A2144" s="2">
        <v>2143</v>
      </c>
      <c r="B2144" s="3">
        <v>4642</v>
      </c>
      <c r="C2144" s="5" t="s">
        <v>1021</v>
      </c>
      <c r="D2144" s="5" t="s">
        <v>1020</v>
      </c>
      <c r="E2144" s="5" t="s">
        <v>14</v>
      </c>
      <c r="F2144" s="3" t="s">
        <v>1022</v>
      </c>
      <c r="G2144" s="3" t="str">
        <f>"01013930"</f>
        <v>01013930</v>
      </c>
    </row>
    <row r="2145" spans="1:7" x14ac:dyDescent="0.25">
      <c r="A2145" s="2">
        <v>2144</v>
      </c>
      <c r="B2145" s="3">
        <v>7120</v>
      </c>
      <c r="C2145" s="5" t="s">
        <v>1021</v>
      </c>
      <c r="D2145" s="5" t="s">
        <v>644</v>
      </c>
      <c r="E2145" s="5" t="s">
        <v>284</v>
      </c>
      <c r="F2145" s="3" t="s">
        <v>2471</v>
      </c>
      <c r="G2145" s="3" t="str">
        <f>"01008609"</f>
        <v>01008609</v>
      </c>
    </row>
    <row r="2146" spans="1:7" x14ac:dyDescent="0.25">
      <c r="A2146" s="2">
        <v>2145</v>
      </c>
      <c r="B2146" s="3">
        <v>12517</v>
      </c>
      <c r="C2146" s="5" t="s">
        <v>491</v>
      </c>
      <c r="D2146" s="5" t="s">
        <v>696</v>
      </c>
      <c r="E2146" s="5" t="s">
        <v>11</v>
      </c>
      <c r="F2146" s="3" t="s">
        <v>3212</v>
      </c>
      <c r="G2146" s="3" t="str">
        <f>"00983648"</f>
        <v>00983648</v>
      </c>
    </row>
    <row r="2147" spans="1:7" x14ac:dyDescent="0.25">
      <c r="A2147" s="2">
        <v>2146</v>
      </c>
      <c r="B2147" s="3">
        <v>8745</v>
      </c>
      <c r="C2147" s="5" t="s">
        <v>491</v>
      </c>
      <c r="D2147" s="5" t="s">
        <v>490</v>
      </c>
      <c r="E2147" s="5" t="s">
        <v>14</v>
      </c>
      <c r="F2147" s="3" t="s">
        <v>492</v>
      </c>
      <c r="G2147" s="3" t="str">
        <f>"00310189"</f>
        <v>00310189</v>
      </c>
    </row>
    <row r="2148" spans="1:7" x14ac:dyDescent="0.25">
      <c r="A2148" s="2">
        <v>2147</v>
      </c>
      <c r="B2148" s="3">
        <v>3287</v>
      </c>
      <c r="C2148" s="5" t="s">
        <v>4545</v>
      </c>
      <c r="D2148" s="5" t="s">
        <v>609</v>
      </c>
      <c r="E2148" s="5" t="s">
        <v>44</v>
      </c>
      <c r="F2148" s="3" t="s">
        <v>4546</v>
      </c>
      <c r="G2148" s="3" t="str">
        <f>"01016908"</f>
        <v>01016908</v>
      </c>
    </row>
    <row r="2149" spans="1:7" x14ac:dyDescent="0.25">
      <c r="A2149" s="2">
        <v>2148</v>
      </c>
      <c r="B2149" s="3">
        <v>12185</v>
      </c>
      <c r="C2149" s="5" t="s">
        <v>1044</v>
      </c>
      <c r="D2149" s="5" t="s">
        <v>87</v>
      </c>
      <c r="E2149" s="5" t="s">
        <v>667</v>
      </c>
      <c r="F2149" s="3" t="s">
        <v>1045</v>
      </c>
      <c r="G2149" s="3" t="str">
        <f>"01009474"</f>
        <v>01009474</v>
      </c>
    </row>
    <row r="2150" spans="1:7" x14ac:dyDescent="0.25">
      <c r="A2150" s="2">
        <v>2149</v>
      </c>
      <c r="B2150" s="3">
        <v>2395</v>
      </c>
      <c r="C2150" s="5" t="s">
        <v>722</v>
      </c>
      <c r="D2150" s="5" t="s">
        <v>721</v>
      </c>
      <c r="E2150" s="5" t="s">
        <v>129</v>
      </c>
      <c r="F2150" s="3" t="s">
        <v>723</v>
      </c>
      <c r="G2150" s="3" t="str">
        <f>"201511023628"</f>
        <v>201511023628</v>
      </c>
    </row>
    <row r="2151" spans="1:7" x14ac:dyDescent="0.25">
      <c r="A2151" s="2">
        <v>2150</v>
      </c>
      <c r="B2151" s="3">
        <v>7683</v>
      </c>
      <c r="C2151" s="5" t="s">
        <v>3453</v>
      </c>
      <c r="D2151" s="5" t="s">
        <v>44</v>
      </c>
      <c r="E2151" s="5" t="s">
        <v>87</v>
      </c>
      <c r="F2151" s="3" t="s">
        <v>3454</v>
      </c>
      <c r="G2151" s="3" t="str">
        <f>"01013977"</f>
        <v>01013977</v>
      </c>
    </row>
    <row r="2152" spans="1:7" x14ac:dyDescent="0.25">
      <c r="A2152" s="2">
        <v>2151</v>
      </c>
      <c r="B2152" s="3">
        <v>10997</v>
      </c>
      <c r="C2152" s="5" t="s">
        <v>3530</v>
      </c>
      <c r="D2152" s="5" t="s">
        <v>87</v>
      </c>
      <c r="E2152" s="5" t="s">
        <v>44</v>
      </c>
      <c r="F2152" s="3" t="s">
        <v>3531</v>
      </c>
      <c r="G2152" s="3" t="str">
        <f>"00747106"</f>
        <v>00747106</v>
      </c>
    </row>
    <row r="2153" spans="1:7" x14ac:dyDescent="0.25">
      <c r="A2153" s="2">
        <v>2152</v>
      </c>
      <c r="B2153" s="3">
        <v>12368</v>
      </c>
      <c r="C2153" s="5" t="s">
        <v>55</v>
      </c>
      <c r="D2153" s="5" t="s">
        <v>44</v>
      </c>
      <c r="E2153" s="5" t="s">
        <v>11</v>
      </c>
      <c r="F2153" s="3" t="s">
        <v>56</v>
      </c>
      <c r="G2153" s="3" t="str">
        <f>"00667123"</f>
        <v>00667123</v>
      </c>
    </row>
    <row r="2154" spans="1:7" x14ac:dyDescent="0.25">
      <c r="A2154" s="2">
        <v>2153</v>
      </c>
      <c r="B2154" s="3">
        <v>9804</v>
      </c>
      <c r="C2154" s="5" t="s">
        <v>316</v>
      </c>
      <c r="D2154" s="5" t="s">
        <v>32</v>
      </c>
      <c r="E2154" s="5" t="s">
        <v>135</v>
      </c>
      <c r="F2154" s="3" t="s">
        <v>317</v>
      </c>
      <c r="G2154" s="3" t="str">
        <f>"00815825"</f>
        <v>00815825</v>
      </c>
    </row>
    <row r="2155" spans="1:7" x14ac:dyDescent="0.25">
      <c r="A2155" s="2">
        <v>2154</v>
      </c>
      <c r="B2155" s="3">
        <v>3723</v>
      </c>
      <c r="C2155" s="5" t="s">
        <v>645</v>
      </c>
      <c r="D2155" s="5" t="s">
        <v>644</v>
      </c>
      <c r="E2155" s="5" t="s">
        <v>252</v>
      </c>
      <c r="F2155" s="3" t="s">
        <v>646</v>
      </c>
      <c r="G2155" s="3" t="str">
        <f>"00607829"</f>
        <v>00607829</v>
      </c>
    </row>
    <row r="2156" spans="1:7" x14ac:dyDescent="0.25">
      <c r="A2156" s="2">
        <v>2155</v>
      </c>
      <c r="B2156" s="3">
        <v>1790</v>
      </c>
      <c r="C2156" s="5" t="s">
        <v>4262</v>
      </c>
      <c r="D2156" s="5" t="s">
        <v>87</v>
      </c>
      <c r="E2156" s="5" t="s">
        <v>87</v>
      </c>
      <c r="F2156" s="3" t="s">
        <v>4263</v>
      </c>
      <c r="G2156" s="3" t="str">
        <f>"00447752"</f>
        <v>00447752</v>
      </c>
    </row>
    <row r="2157" spans="1:7" x14ac:dyDescent="0.25">
      <c r="A2157" s="2">
        <v>2156</v>
      </c>
      <c r="B2157" s="3">
        <v>3858</v>
      </c>
      <c r="C2157" s="5" t="s">
        <v>537</v>
      </c>
      <c r="D2157" s="5" t="s">
        <v>416</v>
      </c>
      <c r="E2157" s="5" t="s">
        <v>2017</v>
      </c>
      <c r="F2157" s="3" t="s">
        <v>538</v>
      </c>
      <c r="G2157" s="3" t="str">
        <f>"00973444"</f>
        <v>00973444</v>
      </c>
    </row>
    <row r="2158" spans="1:7" x14ac:dyDescent="0.25">
      <c r="A2158" s="2">
        <v>2157</v>
      </c>
      <c r="B2158" s="3">
        <v>4529</v>
      </c>
      <c r="C2158" s="5" t="s">
        <v>188</v>
      </c>
      <c r="D2158" s="5" t="s">
        <v>187</v>
      </c>
      <c r="E2158" s="5" t="s">
        <v>87</v>
      </c>
      <c r="F2158" s="3" t="s">
        <v>189</v>
      </c>
      <c r="G2158" s="3" t="str">
        <f>"00647676"</f>
        <v>00647676</v>
      </c>
    </row>
    <row r="2159" spans="1:7" x14ac:dyDescent="0.25">
      <c r="A2159" s="2">
        <v>2158</v>
      </c>
      <c r="B2159" s="3">
        <v>12775</v>
      </c>
      <c r="C2159" s="5" t="s">
        <v>2851</v>
      </c>
      <c r="D2159" s="5" t="s">
        <v>87</v>
      </c>
      <c r="E2159" s="5" t="s">
        <v>14</v>
      </c>
      <c r="F2159" s="3">
        <v>33859</v>
      </c>
      <c r="G2159" s="3" t="str">
        <f>"00496896"</f>
        <v>00496896</v>
      </c>
    </row>
    <row r="2160" spans="1:7" x14ac:dyDescent="0.25">
      <c r="A2160" s="2">
        <v>2159</v>
      </c>
      <c r="B2160" s="3">
        <v>2453</v>
      </c>
      <c r="C2160" s="5" t="s">
        <v>2851</v>
      </c>
      <c r="D2160" s="5" t="s">
        <v>129</v>
      </c>
      <c r="E2160" s="5" t="s">
        <v>14</v>
      </c>
      <c r="F2160" s="3">
        <v>33858</v>
      </c>
      <c r="G2160" s="3" t="str">
        <f>"00496942"</f>
        <v>00496942</v>
      </c>
    </row>
    <row r="2161" spans="1:7" x14ac:dyDescent="0.25">
      <c r="A2161" s="2">
        <v>2160</v>
      </c>
      <c r="B2161" s="3">
        <v>4788</v>
      </c>
      <c r="C2161" s="5" t="s">
        <v>1256</v>
      </c>
      <c r="D2161" s="5" t="s">
        <v>284</v>
      </c>
      <c r="E2161" s="5" t="s">
        <v>5</v>
      </c>
      <c r="F2161" s="3" t="s">
        <v>1257</v>
      </c>
      <c r="G2161" s="3" t="str">
        <f>"00978511"</f>
        <v>00978511</v>
      </c>
    </row>
    <row r="2162" spans="1:7" x14ac:dyDescent="0.25">
      <c r="A2162" s="2">
        <v>2161</v>
      </c>
      <c r="B2162" s="3">
        <v>5220</v>
      </c>
      <c r="C2162" s="5" t="s">
        <v>753</v>
      </c>
      <c r="D2162" s="5" t="s">
        <v>752</v>
      </c>
      <c r="E2162" s="5" t="s">
        <v>14</v>
      </c>
      <c r="F2162" s="3" t="s">
        <v>754</v>
      </c>
      <c r="G2162" s="3" t="str">
        <f>"201412003293"</f>
        <v>201412003293</v>
      </c>
    </row>
    <row r="2163" spans="1:7" x14ac:dyDescent="0.25">
      <c r="A2163" s="2">
        <v>2162</v>
      </c>
      <c r="B2163" s="3">
        <v>4924</v>
      </c>
      <c r="C2163" s="5" t="s">
        <v>3171</v>
      </c>
      <c r="D2163" s="5" t="s">
        <v>24</v>
      </c>
      <c r="E2163" s="5" t="s">
        <v>129</v>
      </c>
      <c r="F2163" s="3" t="s">
        <v>3172</v>
      </c>
      <c r="G2163" s="3" t="str">
        <f>"00547936"</f>
        <v>00547936</v>
      </c>
    </row>
    <row r="2164" spans="1:7" x14ac:dyDescent="0.25">
      <c r="A2164" s="2">
        <v>2163</v>
      </c>
      <c r="B2164" s="3">
        <v>6138</v>
      </c>
      <c r="C2164" s="5" t="s">
        <v>551</v>
      </c>
      <c r="D2164" s="5" t="s">
        <v>87</v>
      </c>
      <c r="E2164" s="5" t="s">
        <v>4796</v>
      </c>
      <c r="F2164" s="3" t="s">
        <v>552</v>
      </c>
      <c r="G2164" s="3" t="str">
        <f>"01015704"</f>
        <v>01015704</v>
      </c>
    </row>
    <row r="2165" spans="1:7" x14ac:dyDescent="0.25">
      <c r="A2165" s="2">
        <v>2164</v>
      </c>
      <c r="B2165" s="3">
        <v>1440</v>
      </c>
      <c r="C2165" s="5" t="s">
        <v>4171</v>
      </c>
      <c r="D2165" s="5" t="s">
        <v>87</v>
      </c>
      <c r="E2165" s="5" t="s">
        <v>27</v>
      </c>
      <c r="F2165" s="3" t="s">
        <v>4172</v>
      </c>
      <c r="G2165" s="3" t="str">
        <f>"00884627"</f>
        <v>00884627</v>
      </c>
    </row>
    <row r="2166" spans="1:7" x14ac:dyDescent="0.25">
      <c r="A2166" s="2">
        <v>2165</v>
      </c>
      <c r="B2166" s="3">
        <v>6811</v>
      </c>
      <c r="C2166" s="5" t="s">
        <v>905</v>
      </c>
      <c r="D2166" s="5" t="s">
        <v>126</v>
      </c>
      <c r="E2166" s="5" t="s">
        <v>4807</v>
      </c>
      <c r="F2166" s="3" t="s">
        <v>906</v>
      </c>
      <c r="G2166" s="3" t="str">
        <f>"00689305"</f>
        <v>00689305</v>
      </c>
    </row>
    <row r="2167" spans="1:7" x14ac:dyDescent="0.25">
      <c r="A2167" s="2">
        <v>2166</v>
      </c>
      <c r="B2167" s="3">
        <v>583</v>
      </c>
      <c r="C2167" s="5" t="s">
        <v>3727</v>
      </c>
      <c r="D2167" s="5" t="s">
        <v>588</v>
      </c>
      <c r="E2167" s="5" t="s">
        <v>4150</v>
      </c>
      <c r="F2167" s="3" t="s">
        <v>3728</v>
      </c>
      <c r="G2167" s="3" t="str">
        <f>"00006105"</f>
        <v>00006105</v>
      </c>
    </row>
    <row r="2168" spans="1:7" x14ac:dyDescent="0.25">
      <c r="A2168" s="2">
        <v>2167</v>
      </c>
      <c r="B2168" s="3">
        <v>8797</v>
      </c>
      <c r="C2168" s="5" t="s">
        <v>1215</v>
      </c>
      <c r="D2168" s="5" t="s">
        <v>5</v>
      </c>
      <c r="E2168" s="5" t="s">
        <v>87</v>
      </c>
      <c r="F2168" s="3" t="s">
        <v>1216</v>
      </c>
      <c r="G2168" s="3" t="str">
        <f>"00983030"</f>
        <v>00983030</v>
      </c>
    </row>
    <row r="2169" spans="1:7" x14ac:dyDescent="0.25">
      <c r="A2169" s="2">
        <v>2168</v>
      </c>
      <c r="B2169" s="3">
        <v>10917</v>
      </c>
      <c r="C2169" s="5" t="s">
        <v>4364</v>
      </c>
      <c r="D2169" s="5" t="s">
        <v>604</v>
      </c>
      <c r="E2169" s="5" t="s">
        <v>11</v>
      </c>
      <c r="F2169" s="3" t="s">
        <v>4365</v>
      </c>
      <c r="G2169" s="3" t="str">
        <f>"201408000151"</f>
        <v>201408000151</v>
      </c>
    </row>
    <row r="2170" spans="1:7" x14ac:dyDescent="0.25">
      <c r="A2170" s="2">
        <v>2169</v>
      </c>
      <c r="B2170" s="3">
        <v>271</v>
      </c>
      <c r="C2170" s="5" t="s">
        <v>370</v>
      </c>
      <c r="D2170" s="5" t="s">
        <v>369</v>
      </c>
      <c r="E2170" s="5" t="s">
        <v>5</v>
      </c>
      <c r="F2170" s="3" t="s">
        <v>371</v>
      </c>
      <c r="G2170" s="3" t="str">
        <f>"00474166"</f>
        <v>00474166</v>
      </c>
    </row>
    <row r="2171" spans="1:7" x14ac:dyDescent="0.25">
      <c r="A2171" s="2">
        <v>2170</v>
      </c>
      <c r="B2171" s="3">
        <v>6250</v>
      </c>
      <c r="C2171" s="5" t="s">
        <v>834</v>
      </c>
      <c r="D2171" s="5" t="s">
        <v>833</v>
      </c>
      <c r="E2171" s="5" t="s">
        <v>52</v>
      </c>
      <c r="F2171" s="3">
        <v>2740051</v>
      </c>
      <c r="G2171" s="3" t="str">
        <f>"00754742"</f>
        <v>00754742</v>
      </c>
    </row>
    <row r="2172" spans="1:7" x14ac:dyDescent="0.25">
      <c r="A2172" s="2">
        <v>2171</v>
      </c>
      <c r="B2172" s="3">
        <v>12263</v>
      </c>
      <c r="C2172" s="5" t="s">
        <v>4527</v>
      </c>
      <c r="D2172" s="5" t="s">
        <v>865</v>
      </c>
      <c r="E2172" s="5" t="s">
        <v>87</v>
      </c>
      <c r="F2172" s="3" t="s">
        <v>4528</v>
      </c>
      <c r="G2172" s="3" t="str">
        <f>"00120476"</f>
        <v>00120476</v>
      </c>
    </row>
    <row r="2173" spans="1:7" x14ac:dyDescent="0.25">
      <c r="A2173" s="2">
        <v>2172</v>
      </c>
      <c r="B2173" s="3">
        <v>2440</v>
      </c>
      <c r="C2173" s="5" t="s">
        <v>264</v>
      </c>
      <c r="D2173" s="5" t="s">
        <v>263</v>
      </c>
      <c r="E2173" s="5" t="s">
        <v>44</v>
      </c>
      <c r="F2173" s="3" t="s">
        <v>265</v>
      </c>
      <c r="G2173" s="3" t="str">
        <f>"00981272"</f>
        <v>00981272</v>
      </c>
    </row>
    <row r="2174" spans="1:7" x14ac:dyDescent="0.25">
      <c r="A2174" s="2">
        <v>2173</v>
      </c>
      <c r="B2174" s="3">
        <v>3648</v>
      </c>
      <c r="C2174" s="5" t="s">
        <v>264</v>
      </c>
      <c r="D2174" s="5" t="s">
        <v>5</v>
      </c>
      <c r="E2174" s="5" t="s">
        <v>44</v>
      </c>
      <c r="F2174" s="3" t="s">
        <v>363</v>
      </c>
      <c r="G2174" s="3" t="str">
        <f>"00981387"</f>
        <v>00981387</v>
      </c>
    </row>
    <row r="2175" spans="1:7" x14ac:dyDescent="0.25">
      <c r="A2175" s="2">
        <v>2174</v>
      </c>
      <c r="B2175" s="3">
        <v>12863</v>
      </c>
      <c r="C2175" s="5" t="s">
        <v>4662</v>
      </c>
      <c r="D2175" s="5" t="s">
        <v>91</v>
      </c>
      <c r="E2175" s="5" t="s">
        <v>87</v>
      </c>
      <c r="F2175" s="3" t="s">
        <v>4663</v>
      </c>
      <c r="G2175" s="3" t="str">
        <f>"00924524"</f>
        <v>00924524</v>
      </c>
    </row>
    <row r="2176" spans="1:7" x14ac:dyDescent="0.25">
      <c r="A2176" s="2">
        <v>2175</v>
      </c>
      <c r="B2176" s="3">
        <v>12595</v>
      </c>
      <c r="C2176" s="5" t="s">
        <v>4229</v>
      </c>
      <c r="D2176" s="5" t="s">
        <v>4228</v>
      </c>
      <c r="E2176" s="5" t="s">
        <v>4900</v>
      </c>
      <c r="F2176" s="3" t="s">
        <v>4230</v>
      </c>
      <c r="G2176" s="3" t="str">
        <f>"00229294"</f>
        <v>00229294</v>
      </c>
    </row>
    <row r="2177" spans="1:7" x14ac:dyDescent="0.25">
      <c r="A2177" s="2">
        <v>2176</v>
      </c>
      <c r="B2177" s="3">
        <v>120</v>
      </c>
      <c r="C2177" s="5" t="s">
        <v>3030</v>
      </c>
      <c r="D2177" s="5" t="s">
        <v>52</v>
      </c>
      <c r="E2177" s="5" t="s">
        <v>52</v>
      </c>
      <c r="F2177" s="3" t="s">
        <v>3031</v>
      </c>
      <c r="G2177" s="3" t="str">
        <f>"00113461"</f>
        <v>00113461</v>
      </c>
    </row>
    <row r="2178" spans="1:7" x14ac:dyDescent="0.25">
      <c r="A2178" s="2">
        <v>2177</v>
      </c>
      <c r="B2178" s="3">
        <v>4192</v>
      </c>
      <c r="C2178" s="5" t="s">
        <v>426</v>
      </c>
      <c r="D2178" s="5" t="s">
        <v>32</v>
      </c>
      <c r="E2178" s="5" t="s">
        <v>2076</v>
      </c>
      <c r="F2178" s="3" t="s">
        <v>427</v>
      </c>
      <c r="G2178" s="3" t="str">
        <f>"00982879"</f>
        <v>00982879</v>
      </c>
    </row>
    <row r="2179" spans="1:7" x14ac:dyDescent="0.25">
      <c r="A2179" s="2">
        <v>2178</v>
      </c>
      <c r="B2179" s="3">
        <v>2620</v>
      </c>
      <c r="C2179" s="5" t="s">
        <v>2462</v>
      </c>
      <c r="D2179" s="5" t="s">
        <v>2461</v>
      </c>
      <c r="E2179" s="5" t="s">
        <v>44</v>
      </c>
      <c r="F2179" s="3" t="s">
        <v>2463</v>
      </c>
      <c r="G2179" s="3" t="str">
        <f>"00987034"</f>
        <v>00987034</v>
      </c>
    </row>
    <row r="2180" spans="1:7" x14ac:dyDescent="0.25">
      <c r="A2180" s="2">
        <v>2179</v>
      </c>
      <c r="B2180" s="3">
        <v>9104</v>
      </c>
      <c r="C2180" s="5" t="s">
        <v>2935</v>
      </c>
      <c r="D2180" s="5" t="s">
        <v>87</v>
      </c>
      <c r="E2180" s="5" t="s">
        <v>52</v>
      </c>
      <c r="F2180" s="3" t="s">
        <v>2936</v>
      </c>
      <c r="G2180" s="3" t="str">
        <f>"201604003543"</f>
        <v>201604003543</v>
      </c>
    </row>
    <row r="2181" spans="1:7" x14ac:dyDescent="0.25">
      <c r="A2181" s="2">
        <v>2180</v>
      </c>
      <c r="B2181" s="3">
        <v>10411</v>
      </c>
      <c r="C2181" s="5" t="s">
        <v>4026</v>
      </c>
      <c r="D2181" s="5" t="s">
        <v>284</v>
      </c>
      <c r="E2181" s="5" t="s">
        <v>52</v>
      </c>
      <c r="F2181" s="3" t="s">
        <v>4027</v>
      </c>
      <c r="G2181" s="3" t="str">
        <f>"00409113"</f>
        <v>00409113</v>
      </c>
    </row>
    <row r="2182" spans="1:7" x14ac:dyDescent="0.25">
      <c r="A2182" s="2">
        <v>2181</v>
      </c>
      <c r="B2182" s="3">
        <v>3891</v>
      </c>
      <c r="C2182" s="5" t="s">
        <v>4045</v>
      </c>
      <c r="D2182" s="5" t="s">
        <v>858</v>
      </c>
      <c r="E2182" s="5" t="s">
        <v>87</v>
      </c>
      <c r="F2182" s="3" t="s">
        <v>4046</v>
      </c>
      <c r="G2182" s="3" t="str">
        <f>"00979829"</f>
        <v>00979829</v>
      </c>
    </row>
    <row r="2183" spans="1:7" x14ac:dyDescent="0.25">
      <c r="A2183" s="2">
        <v>2182</v>
      </c>
      <c r="B2183" s="3">
        <v>6202</v>
      </c>
      <c r="C2183" s="5" t="s">
        <v>2293</v>
      </c>
      <c r="D2183" s="5" t="s">
        <v>2292</v>
      </c>
      <c r="E2183" s="5" t="s">
        <v>129</v>
      </c>
      <c r="F2183" s="3" t="s">
        <v>2294</v>
      </c>
      <c r="G2183" s="3" t="str">
        <f>"00766789"</f>
        <v>00766789</v>
      </c>
    </row>
    <row r="2184" spans="1:7" x14ac:dyDescent="0.25">
      <c r="A2184" s="2">
        <v>2183</v>
      </c>
      <c r="B2184" s="3">
        <v>12503</v>
      </c>
      <c r="C2184" s="5" t="s">
        <v>1135</v>
      </c>
      <c r="D2184" s="5" t="s">
        <v>1134</v>
      </c>
      <c r="E2184" s="5" t="s">
        <v>1738</v>
      </c>
      <c r="F2184" s="3" t="s">
        <v>1136</v>
      </c>
      <c r="G2184" s="3" t="str">
        <f>"00995896"</f>
        <v>00995896</v>
      </c>
    </row>
    <row r="2185" spans="1:7" x14ac:dyDescent="0.25">
      <c r="A2185" s="2">
        <v>2184</v>
      </c>
      <c r="B2185" s="3">
        <v>1139</v>
      </c>
      <c r="C2185" s="5" t="s">
        <v>1538</v>
      </c>
      <c r="D2185" s="5" t="s">
        <v>198</v>
      </c>
      <c r="E2185" s="5" t="s">
        <v>284</v>
      </c>
      <c r="F2185" s="3" t="s">
        <v>1539</v>
      </c>
      <c r="G2185" s="3" t="str">
        <f>"201412007136"</f>
        <v>201412007136</v>
      </c>
    </row>
    <row r="2186" spans="1:7" x14ac:dyDescent="0.25">
      <c r="A2186" s="2">
        <v>2185</v>
      </c>
      <c r="B2186" s="3">
        <v>9457</v>
      </c>
      <c r="C2186" s="5" t="s">
        <v>2764</v>
      </c>
      <c r="D2186" s="5" t="s">
        <v>5</v>
      </c>
      <c r="E2186" s="5" t="s">
        <v>135</v>
      </c>
      <c r="F2186" s="3" t="s">
        <v>2765</v>
      </c>
      <c r="G2186" s="3" t="str">
        <f>"00810094"</f>
        <v>00810094</v>
      </c>
    </row>
    <row r="2187" spans="1:7" x14ac:dyDescent="0.25">
      <c r="A2187" s="2">
        <v>2186</v>
      </c>
      <c r="B2187" s="3">
        <v>12912</v>
      </c>
      <c r="C2187" s="5" t="s">
        <v>3383</v>
      </c>
      <c r="D2187" s="5" t="s">
        <v>87</v>
      </c>
      <c r="E2187" s="5" t="s">
        <v>52</v>
      </c>
      <c r="F2187" s="3" t="s">
        <v>3384</v>
      </c>
      <c r="G2187" s="3" t="str">
        <f>"00983739"</f>
        <v>00983739</v>
      </c>
    </row>
    <row r="2188" spans="1:7" x14ac:dyDescent="0.25">
      <c r="A2188" s="2">
        <v>2187</v>
      </c>
      <c r="B2188" s="3">
        <v>651</v>
      </c>
      <c r="C2188" s="5" t="s">
        <v>2987</v>
      </c>
      <c r="D2188" s="5" t="s">
        <v>84</v>
      </c>
      <c r="E2188" s="5" t="s">
        <v>11</v>
      </c>
      <c r="F2188" s="3" t="s">
        <v>2988</v>
      </c>
      <c r="G2188" s="3" t="str">
        <f>"00852106"</f>
        <v>00852106</v>
      </c>
    </row>
    <row r="2189" spans="1:7" x14ac:dyDescent="0.25">
      <c r="A2189" s="2">
        <v>2188</v>
      </c>
      <c r="B2189" s="3">
        <v>12302</v>
      </c>
      <c r="C2189" s="5" t="s">
        <v>3643</v>
      </c>
      <c r="D2189" s="5" t="s">
        <v>3642</v>
      </c>
      <c r="E2189" s="5" t="s">
        <v>14</v>
      </c>
      <c r="F2189" s="3" t="s">
        <v>3644</v>
      </c>
      <c r="G2189" s="3" t="str">
        <f>"00405025"</f>
        <v>00405025</v>
      </c>
    </row>
    <row r="2190" spans="1:7" x14ac:dyDescent="0.25">
      <c r="A2190" s="2">
        <v>2189</v>
      </c>
      <c r="B2190" s="3">
        <v>348</v>
      </c>
      <c r="C2190" s="5" t="s">
        <v>1049</v>
      </c>
      <c r="D2190" s="5" t="s">
        <v>107</v>
      </c>
      <c r="E2190" s="5" t="s">
        <v>52</v>
      </c>
      <c r="F2190" s="3" t="s">
        <v>1050</v>
      </c>
      <c r="G2190" s="3" t="str">
        <f>"00983282"</f>
        <v>00983282</v>
      </c>
    </row>
    <row r="2191" spans="1:7" x14ac:dyDescent="0.25">
      <c r="A2191" s="2">
        <v>2190</v>
      </c>
      <c r="B2191" s="3">
        <v>3847</v>
      </c>
      <c r="C2191" s="5" t="s">
        <v>4373</v>
      </c>
      <c r="D2191" s="5" t="s">
        <v>126</v>
      </c>
      <c r="E2191" s="5" t="s">
        <v>622</v>
      </c>
      <c r="F2191" s="3" t="s">
        <v>4374</v>
      </c>
      <c r="G2191" s="3" t="str">
        <f>"00837938"</f>
        <v>00837938</v>
      </c>
    </row>
    <row r="2192" spans="1:7" x14ac:dyDescent="0.25">
      <c r="A2192" s="2">
        <v>2191</v>
      </c>
      <c r="B2192" s="3">
        <v>7740</v>
      </c>
      <c r="C2192" s="5" t="s">
        <v>4586</v>
      </c>
      <c r="D2192" s="5" t="s">
        <v>2608</v>
      </c>
      <c r="E2192" s="5" t="s">
        <v>32</v>
      </c>
      <c r="F2192" s="3" t="s">
        <v>4587</v>
      </c>
      <c r="G2192" s="3" t="str">
        <f>"01015671"</f>
        <v>01015671</v>
      </c>
    </row>
    <row r="2193" spans="1:7" x14ac:dyDescent="0.25">
      <c r="A2193" s="2">
        <v>2192</v>
      </c>
      <c r="B2193" s="3">
        <v>7673</v>
      </c>
      <c r="C2193" s="5" t="s">
        <v>1435</v>
      </c>
      <c r="D2193" s="5" t="s">
        <v>52</v>
      </c>
      <c r="E2193" s="5" t="s">
        <v>129</v>
      </c>
      <c r="F2193" s="3" t="s">
        <v>1436</v>
      </c>
      <c r="G2193" s="3" t="str">
        <f>"00720930"</f>
        <v>00720930</v>
      </c>
    </row>
    <row r="2194" spans="1:7" x14ac:dyDescent="0.25">
      <c r="A2194" s="2">
        <v>2193</v>
      </c>
      <c r="B2194" s="3">
        <v>4407</v>
      </c>
      <c r="C2194" s="5" t="s">
        <v>1190</v>
      </c>
      <c r="D2194" s="5" t="s">
        <v>865</v>
      </c>
      <c r="E2194" s="5" t="s">
        <v>5</v>
      </c>
      <c r="F2194" s="3" t="s">
        <v>1191</v>
      </c>
      <c r="G2194" s="3" t="str">
        <f>"00985574"</f>
        <v>00985574</v>
      </c>
    </row>
    <row r="2195" spans="1:7" x14ac:dyDescent="0.25">
      <c r="A2195" s="2">
        <v>2194</v>
      </c>
      <c r="B2195" s="3">
        <v>10215</v>
      </c>
      <c r="C2195" s="5" t="s">
        <v>335</v>
      </c>
      <c r="D2195" s="5" t="s">
        <v>32</v>
      </c>
      <c r="E2195" s="5" t="s">
        <v>52</v>
      </c>
      <c r="F2195" s="3" t="s">
        <v>336</v>
      </c>
      <c r="G2195" s="3" t="str">
        <f>"00548202"</f>
        <v>00548202</v>
      </c>
    </row>
    <row r="2196" spans="1:7" x14ac:dyDescent="0.25">
      <c r="A2196" s="2">
        <v>2195</v>
      </c>
      <c r="B2196" s="3">
        <v>8473</v>
      </c>
      <c r="C2196" s="5" t="s">
        <v>4292</v>
      </c>
      <c r="D2196" s="5" t="s">
        <v>830</v>
      </c>
      <c r="E2196" s="5" t="s">
        <v>44</v>
      </c>
      <c r="F2196" s="3" t="s">
        <v>4293</v>
      </c>
      <c r="G2196" s="3" t="str">
        <f>"00144344"</f>
        <v>00144344</v>
      </c>
    </row>
    <row r="2197" spans="1:7" x14ac:dyDescent="0.25">
      <c r="A2197" s="2">
        <v>2196</v>
      </c>
      <c r="B2197" s="3">
        <v>5795</v>
      </c>
      <c r="C2197" s="5" t="s">
        <v>2660</v>
      </c>
      <c r="D2197" s="5" t="s">
        <v>2659</v>
      </c>
      <c r="E2197" s="5" t="s">
        <v>14</v>
      </c>
      <c r="F2197" s="3" t="s">
        <v>2661</v>
      </c>
      <c r="G2197" s="3" t="str">
        <f>"00445975"</f>
        <v>00445975</v>
      </c>
    </row>
    <row r="2198" spans="1:7" x14ac:dyDescent="0.25">
      <c r="A2198" s="2">
        <v>2197</v>
      </c>
      <c r="B2198" s="3">
        <v>339</v>
      </c>
      <c r="C2198" s="5" t="s">
        <v>3648</v>
      </c>
      <c r="D2198" s="5" t="s">
        <v>2433</v>
      </c>
      <c r="E2198" s="5" t="s">
        <v>11</v>
      </c>
      <c r="F2198" s="3" t="s">
        <v>3649</v>
      </c>
      <c r="G2198" s="3" t="str">
        <f>"00999951"</f>
        <v>00999951</v>
      </c>
    </row>
    <row r="2199" spans="1:7" x14ac:dyDescent="0.25">
      <c r="A2199" s="2">
        <v>2198</v>
      </c>
      <c r="B2199" s="3">
        <v>4453</v>
      </c>
      <c r="C2199" s="5" t="s">
        <v>3443</v>
      </c>
      <c r="D2199" s="5" t="s">
        <v>82</v>
      </c>
      <c r="E2199" s="5" t="s">
        <v>52</v>
      </c>
      <c r="F2199" s="3" t="s">
        <v>3444</v>
      </c>
      <c r="G2199" s="3" t="str">
        <f>"00878648"</f>
        <v>00878648</v>
      </c>
    </row>
    <row r="2200" spans="1:7" x14ac:dyDescent="0.25">
      <c r="A2200" s="2">
        <v>2199</v>
      </c>
      <c r="B2200" s="3">
        <v>7666</v>
      </c>
      <c r="C2200" s="5" t="s">
        <v>2818</v>
      </c>
      <c r="D2200" s="5" t="s">
        <v>1311</v>
      </c>
      <c r="E2200" s="5" t="s">
        <v>5</v>
      </c>
      <c r="F2200" s="3" t="s">
        <v>2819</v>
      </c>
      <c r="G2200" s="3" t="str">
        <f>"00922241"</f>
        <v>00922241</v>
      </c>
    </row>
    <row r="2201" spans="1:7" x14ac:dyDescent="0.25">
      <c r="A2201" s="2">
        <v>2200</v>
      </c>
      <c r="B2201" s="3">
        <v>7818</v>
      </c>
      <c r="C2201" s="5" t="s">
        <v>4486</v>
      </c>
      <c r="D2201" s="5" t="s">
        <v>1023</v>
      </c>
      <c r="E2201" s="5" t="s">
        <v>52</v>
      </c>
      <c r="F2201" s="3" t="s">
        <v>4487</v>
      </c>
      <c r="G2201" s="3" t="str">
        <f>"01013890"</f>
        <v>01013890</v>
      </c>
    </row>
    <row r="2202" spans="1:7" x14ac:dyDescent="0.25">
      <c r="A2202" s="2">
        <v>2201</v>
      </c>
      <c r="B2202" s="3">
        <v>10315</v>
      </c>
      <c r="C2202" s="5" t="s">
        <v>1064</v>
      </c>
      <c r="D2202" s="5" t="s">
        <v>82</v>
      </c>
      <c r="E2202" s="5" t="s">
        <v>622</v>
      </c>
      <c r="F2202" s="3" t="s">
        <v>1065</v>
      </c>
      <c r="G2202" s="3" t="str">
        <f>"00980795"</f>
        <v>00980795</v>
      </c>
    </row>
    <row r="2203" spans="1:7" x14ac:dyDescent="0.25">
      <c r="A2203" s="2">
        <v>2202</v>
      </c>
      <c r="B2203" s="3">
        <v>75</v>
      </c>
      <c r="C2203" s="5" t="s">
        <v>1073</v>
      </c>
      <c r="D2203" s="5" t="s">
        <v>609</v>
      </c>
      <c r="E2203" s="5" t="s">
        <v>52</v>
      </c>
      <c r="F2203" s="3" t="s">
        <v>1074</v>
      </c>
      <c r="G2203" s="3" t="str">
        <f>"00184527"</f>
        <v>00184527</v>
      </c>
    </row>
    <row r="2204" spans="1:7" x14ac:dyDescent="0.25">
      <c r="A2204" s="2">
        <v>2203</v>
      </c>
      <c r="B2204" s="3">
        <v>4021</v>
      </c>
      <c r="C2204" s="5" t="s">
        <v>2602</v>
      </c>
      <c r="D2204" s="5" t="s">
        <v>2601</v>
      </c>
      <c r="E2204" s="5" t="s">
        <v>41</v>
      </c>
      <c r="F2204" s="3" t="s">
        <v>2603</v>
      </c>
      <c r="G2204" s="3" t="str">
        <f>"00145155"</f>
        <v>00145155</v>
      </c>
    </row>
    <row r="2205" spans="1:7" x14ac:dyDescent="0.25">
      <c r="A2205" s="2">
        <v>2204</v>
      </c>
      <c r="B2205" s="3">
        <v>11229</v>
      </c>
      <c r="C2205" s="5" t="s">
        <v>202</v>
      </c>
      <c r="D2205" s="5" t="s">
        <v>201</v>
      </c>
      <c r="E2205" s="5" t="s">
        <v>32</v>
      </c>
      <c r="F2205" s="3" t="s">
        <v>203</v>
      </c>
      <c r="G2205" s="3" t="str">
        <f>"01005473"</f>
        <v>01005473</v>
      </c>
    </row>
    <row r="2206" spans="1:7" x14ac:dyDescent="0.25">
      <c r="A2206" s="2">
        <v>2205</v>
      </c>
      <c r="B2206" s="3">
        <v>9888</v>
      </c>
      <c r="C2206" s="5" t="s">
        <v>2260</v>
      </c>
      <c r="D2206" s="5" t="s">
        <v>63</v>
      </c>
      <c r="E2206" s="5" t="s">
        <v>11</v>
      </c>
      <c r="F2206" s="3" t="s">
        <v>2261</v>
      </c>
      <c r="G2206" s="3" t="str">
        <f>"00734358"</f>
        <v>00734358</v>
      </c>
    </row>
    <row r="2207" spans="1:7" x14ac:dyDescent="0.25">
      <c r="A2207" s="2">
        <v>2206</v>
      </c>
      <c r="B2207" s="3">
        <v>4944</v>
      </c>
      <c r="C2207" s="5" t="s">
        <v>2290</v>
      </c>
      <c r="D2207" s="5" t="s">
        <v>18</v>
      </c>
      <c r="E2207" s="5" t="s">
        <v>16</v>
      </c>
      <c r="F2207" s="3" t="s">
        <v>2291</v>
      </c>
      <c r="G2207" s="3" t="str">
        <f>"201511006521"</f>
        <v>201511006521</v>
      </c>
    </row>
    <row r="2208" spans="1:7" x14ac:dyDescent="0.25">
      <c r="A2208" s="2">
        <v>2207</v>
      </c>
      <c r="B2208" s="3">
        <v>10332</v>
      </c>
      <c r="C2208" s="5" t="s">
        <v>3098</v>
      </c>
      <c r="D2208" s="5" t="s">
        <v>696</v>
      </c>
      <c r="E2208" s="5" t="s">
        <v>508</v>
      </c>
      <c r="F2208" s="3">
        <v>710929012</v>
      </c>
      <c r="G2208" s="3" t="str">
        <f>"00736512"</f>
        <v>00736512</v>
      </c>
    </row>
    <row r="2209" spans="1:7" x14ac:dyDescent="0.25">
      <c r="A2209" s="2">
        <v>2208</v>
      </c>
      <c r="B2209" s="3">
        <v>3009</v>
      </c>
      <c r="C2209" s="5" t="s">
        <v>3909</v>
      </c>
      <c r="D2209" s="5" t="s">
        <v>1023</v>
      </c>
      <c r="E2209" s="5" t="s">
        <v>11</v>
      </c>
      <c r="F2209" s="3" t="s">
        <v>3910</v>
      </c>
      <c r="G2209" s="3" t="str">
        <f>"00985898"</f>
        <v>00985898</v>
      </c>
    </row>
    <row r="2210" spans="1:7" x14ac:dyDescent="0.25">
      <c r="A2210" s="2">
        <v>2209</v>
      </c>
      <c r="B2210" s="3">
        <v>10082</v>
      </c>
      <c r="C2210" s="5" t="s">
        <v>1205</v>
      </c>
      <c r="D2210" s="5" t="s">
        <v>1204</v>
      </c>
      <c r="E2210" s="5" t="s">
        <v>14</v>
      </c>
      <c r="F2210" s="3" t="s">
        <v>1206</v>
      </c>
      <c r="G2210" s="3" t="str">
        <f>"00976904"</f>
        <v>00976904</v>
      </c>
    </row>
    <row r="2211" spans="1:7" x14ac:dyDescent="0.25">
      <c r="A2211" s="2">
        <v>2210</v>
      </c>
      <c r="B2211" s="3">
        <v>8310</v>
      </c>
      <c r="C2211" s="5" t="s">
        <v>4513</v>
      </c>
      <c r="D2211" s="5" t="s">
        <v>44</v>
      </c>
      <c r="E2211" s="5" t="s">
        <v>87</v>
      </c>
      <c r="F2211" s="3" t="s">
        <v>4514</v>
      </c>
      <c r="G2211" s="3" t="str">
        <f>"00446152"</f>
        <v>00446152</v>
      </c>
    </row>
    <row r="2212" spans="1:7" x14ac:dyDescent="0.25">
      <c r="A2212" s="2">
        <v>2211</v>
      </c>
      <c r="B2212" s="3">
        <v>4086</v>
      </c>
      <c r="C2212" s="5" t="s">
        <v>394</v>
      </c>
      <c r="D2212" s="5" t="s">
        <v>24</v>
      </c>
      <c r="E2212" s="5" t="s">
        <v>4790</v>
      </c>
      <c r="F2212" s="3" t="s">
        <v>395</v>
      </c>
      <c r="G2212" s="3" t="str">
        <f>"01013995"</f>
        <v>01013995</v>
      </c>
    </row>
    <row r="2213" spans="1:7" x14ac:dyDescent="0.25">
      <c r="A2213" s="2">
        <v>2212</v>
      </c>
      <c r="B2213" s="3">
        <v>9856</v>
      </c>
      <c r="C2213" s="5" t="s">
        <v>2836</v>
      </c>
      <c r="D2213" s="5" t="s">
        <v>129</v>
      </c>
      <c r="E2213" s="5" t="s">
        <v>4790</v>
      </c>
      <c r="F2213" s="3" t="s">
        <v>2837</v>
      </c>
      <c r="G2213" s="3" t="str">
        <f>"01002449"</f>
        <v>01002449</v>
      </c>
    </row>
    <row r="2214" spans="1:7" x14ac:dyDescent="0.25">
      <c r="A2214" s="2">
        <v>2213</v>
      </c>
      <c r="B2214" s="3">
        <v>1763</v>
      </c>
      <c r="C2214" s="5" t="s">
        <v>211</v>
      </c>
      <c r="D2214" s="5" t="s">
        <v>210</v>
      </c>
      <c r="E2214" s="5" t="s">
        <v>545</v>
      </c>
      <c r="F2214" s="3">
        <v>1067022</v>
      </c>
      <c r="G2214" s="3" t="str">
        <f>"00792358"</f>
        <v>00792358</v>
      </c>
    </row>
    <row r="2215" spans="1:7" x14ac:dyDescent="0.25">
      <c r="A2215" s="2">
        <v>2214</v>
      </c>
      <c r="B2215" s="3">
        <v>3346</v>
      </c>
      <c r="C2215" s="5" t="s">
        <v>725</v>
      </c>
      <c r="D2215" s="5" t="s">
        <v>724</v>
      </c>
      <c r="E2215" s="5" t="s">
        <v>1023</v>
      </c>
      <c r="F2215" s="3" t="s">
        <v>726</v>
      </c>
      <c r="G2215" s="3" t="str">
        <f>"00208257"</f>
        <v>00208257</v>
      </c>
    </row>
    <row r="2216" spans="1:7" x14ac:dyDescent="0.25">
      <c r="A2216" s="2">
        <v>2215</v>
      </c>
      <c r="B2216" s="3">
        <v>3837</v>
      </c>
      <c r="C2216" s="5" t="s">
        <v>1484</v>
      </c>
      <c r="D2216" s="5" t="s">
        <v>5</v>
      </c>
      <c r="E2216" s="5" t="s">
        <v>382</v>
      </c>
      <c r="F2216" s="3" t="s">
        <v>1485</v>
      </c>
      <c r="G2216" s="3" t="str">
        <f>"00631528"</f>
        <v>00631528</v>
      </c>
    </row>
    <row r="2217" spans="1:7" x14ac:dyDescent="0.25">
      <c r="A2217" s="2">
        <v>2216</v>
      </c>
      <c r="B2217" s="3">
        <v>7323</v>
      </c>
      <c r="C2217" s="5" t="s">
        <v>1001</v>
      </c>
      <c r="D2217" s="5" t="s">
        <v>1000</v>
      </c>
      <c r="E2217" s="5" t="s">
        <v>102</v>
      </c>
      <c r="F2217" s="3" t="s">
        <v>1002</v>
      </c>
      <c r="G2217" s="3" t="str">
        <f>"00984936"</f>
        <v>00984936</v>
      </c>
    </row>
    <row r="2218" spans="1:7" x14ac:dyDescent="0.25">
      <c r="A2218" s="2">
        <v>2217</v>
      </c>
      <c r="B2218" s="3">
        <v>5129</v>
      </c>
      <c r="C2218" s="5" t="s">
        <v>1001</v>
      </c>
      <c r="D2218" s="5" t="s">
        <v>44</v>
      </c>
      <c r="E2218" s="5" t="s">
        <v>129</v>
      </c>
      <c r="F2218" s="3">
        <v>90845</v>
      </c>
      <c r="G2218" s="3" t="str">
        <f>"00982256"</f>
        <v>00982256</v>
      </c>
    </row>
    <row r="2219" spans="1:7" x14ac:dyDescent="0.25">
      <c r="A2219" s="2">
        <v>2218</v>
      </c>
      <c r="B2219" s="3">
        <v>1022</v>
      </c>
      <c r="C2219" s="5" t="s">
        <v>3279</v>
      </c>
      <c r="D2219" s="5" t="s">
        <v>129</v>
      </c>
      <c r="E2219" s="5" t="s">
        <v>32</v>
      </c>
      <c r="F2219" s="3" t="s">
        <v>3280</v>
      </c>
      <c r="G2219" s="3" t="str">
        <f>"01014724"</f>
        <v>01014724</v>
      </c>
    </row>
    <row r="2220" spans="1:7" x14ac:dyDescent="0.25">
      <c r="A2220" s="2">
        <v>2219</v>
      </c>
      <c r="B2220" s="3">
        <v>11700</v>
      </c>
      <c r="C2220" s="5" t="s">
        <v>3691</v>
      </c>
      <c r="D2220" s="5" t="s">
        <v>35</v>
      </c>
      <c r="E2220" s="5" t="s">
        <v>102</v>
      </c>
      <c r="F2220" s="3" t="s">
        <v>3692</v>
      </c>
      <c r="G2220" s="3" t="str">
        <f>"00977589"</f>
        <v>00977589</v>
      </c>
    </row>
    <row r="2221" spans="1:7" x14ac:dyDescent="0.25">
      <c r="A2221" s="2">
        <v>2220</v>
      </c>
      <c r="B2221" s="3">
        <v>10529</v>
      </c>
      <c r="C2221" s="5" t="s">
        <v>739</v>
      </c>
      <c r="D2221" s="5" t="s">
        <v>27</v>
      </c>
      <c r="E2221" s="5" t="s">
        <v>32</v>
      </c>
      <c r="F2221" s="3" t="s">
        <v>740</v>
      </c>
      <c r="G2221" s="3" t="str">
        <f>"00142044"</f>
        <v>00142044</v>
      </c>
    </row>
    <row r="2222" spans="1:7" x14ac:dyDescent="0.25">
      <c r="A2222" s="2">
        <v>2221</v>
      </c>
      <c r="B2222" s="3">
        <v>9470</v>
      </c>
      <c r="C2222" s="5" t="s">
        <v>2937</v>
      </c>
      <c r="D2222" s="5" t="s">
        <v>94</v>
      </c>
      <c r="E2222" s="5" t="s">
        <v>82</v>
      </c>
      <c r="F2222" s="3" t="s">
        <v>2938</v>
      </c>
      <c r="G2222" s="3" t="str">
        <f>"00976619"</f>
        <v>00976619</v>
      </c>
    </row>
    <row r="2223" spans="1:7" x14ac:dyDescent="0.25">
      <c r="A2223" s="2">
        <v>2222</v>
      </c>
      <c r="B2223" s="3">
        <v>7001</v>
      </c>
      <c r="C2223" s="5" t="s">
        <v>623</v>
      </c>
      <c r="D2223" s="5" t="s">
        <v>622</v>
      </c>
      <c r="E2223" s="5" t="s">
        <v>44</v>
      </c>
      <c r="F2223" s="3" t="s">
        <v>624</v>
      </c>
      <c r="G2223" s="3" t="str">
        <f>"00443822"</f>
        <v>00443822</v>
      </c>
    </row>
    <row r="2224" spans="1:7" x14ac:dyDescent="0.25">
      <c r="A2224" s="2">
        <v>2223</v>
      </c>
      <c r="B2224" s="3">
        <v>12474</v>
      </c>
      <c r="C2224" s="5" t="s">
        <v>4468</v>
      </c>
      <c r="D2224" s="5" t="s">
        <v>2659</v>
      </c>
      <c r="E2224" s="5" t="s">
        <v>5</v>
      </c>
      <c r="F2224" s="3" t="s">
        <v>4469</v>
      </c>
      <c r="G2224" s="3" t="str">
        <f>"00445207"</f>
        <v>00445207</v>
      </c>
    </row>
    <row r="2225" spans="1:7" x14ac:dyDescent="0.25">
      <c r="A2225" s="2">
        <v>2224</v>
      </c>
      <c r="B2225" s="3">
        <v>4413</v>
      </c>
      <c r="C2225" s="5" t="s">
        <v>103</v>
      </c>
      <c r="D2225" s="5" t="s">
        <v>102</v>
      </c>
      <c r="E2225" s="5" t="s">
        <v>11</v>
      </c>
      <c r="F2225" s="3" t="s">
        <v>104</v>
      </c>
      <c r="G2225" s="3" t="str">
        <f>"00777910"</f>
        <v>00777910</v>
      </c>
    </row>
    <row r="2226" spans="1:7" x14ac:dyDescent="0.25">
      <c r="A2226" s="2">
        <v>2225</v>
      </c>
      <c r="B2226" s="3">
        <v>6308</v>
      </c>
      <c r="C2226" s="5" t="s">
        <v>1939</v>
      </c>
      <c r="D2226" s="5" t="s">
        <v>1938</v>
      </c>
      <c r="E2226" s="5" t="s">
        <v>41</v>
      </c>
      <c r="F2226" s="3" t="s">
        <v>1940</v>
      </c>
      <c r="G2226" s="3" t="str">
        <f>"00983621"</f>
        <v>00983621</v>
      </c>
    </row>
    <row r="2227" spans="1:7" x14ac:dyDescent="0.25">
      <c r="A2227" s="2">
        <v>2226</v>
      </c>
      <c r="B2227" s="3">
        <v>802</v>
      </c>
      <c r="C2227" s="5" t="s">
        <v>1217</v>
      </c>
      <c r="D2227" s="5" t="s">
        <v>94</v>
      </c>
      <c r="E2227" s="5" t="s">
        <v>3143</v>
      </c>
      <c r="F2227" s="3" t="s">
        <v>1218</v>
      </c>
      <c r="G2227" s="3" t="str">
        <f>"00989732"</f>
        <v>00989732</v>
      </c>
    </row>
    <row r="2228" spans="1:7" x14ac:dyDescent="0.25">
      <c r="A2228" s="2">
        <v>2227</v>
      </c>
      <c r="B2228" s="3">
        <v>10838</v>
      </c>
      <c r="C2228" s="5" t="s">
        <v>662</v>
      </c>
      <c r="D2228" s="5" t="s">
        <v>14</v>
      </c>
      <c r="E2228" s="5" t="s">
        <v>1023</v>
      </c>
      <c r="F2228" s="3">
        <v>289002015</v>
      </c>
      <c r="G2228" s="3" t="str">
        <f>"00985696"</f>
        <v>00985696</v>
      </c>
    </row>
    <row r="2229" spans="1:7" x14ac:dyDescent="0.25">
      <c r="A2229" s="2">
        <v>2228</v>
      </c>
      <c r="B2229" s="3">
        <v>5963</v>
      </c>
      <c r="C2229" s="5" t="s">
        <v>2702</v>
      </c>
      <c r="D2229" s="5" t="s">
        <v>2701</v>
      </c>
      <c r="E2229" s="5" t="s">
        <v>4863</v>
      </c>
      <c r="F2229" s="3" t="s">
        <v>2703</v>
      </c>
      <c r="G2229" s="3" t="str">
        <f>"00700440"</f>
        <v>00700440</v>
      </c>
    </row>
    <row r="2230" spans="1:7" x14ac:dyDescent="0.25">
      <c r="A2230" s="2">
        <v>2229</v>
      </c>
      <c r="B2230" s="3">
        <v>1305</v>
      </c>
      <c r="C2230" s="5" t="s">
        <v>786</v>
      </c>
      <c r="D2230" s="5" t="s">
        <v>785</v>
      </c>
      <c r="E2230" s="5" t="s">
        <v>52</v>
      </c>
      <c r="F2230" s="3" t="s">
        <v>787</v>
      </c>
      <c r="G2230" s="3" t="str">
        <f>"201412003511"</f>
        <v>201412003511</v>
      </c>
    </row>
    <row r="2231" spans="1:7" x14ac:dyDescent="0.25">
      <c r="A2231" s="2">
        <v>2230</v>
      </c>
      <c r="B2231" s="3">
        <v>1731</v>
      </c>
      <c r="C2231" s="5" t="s">
        <v>1223</v>
      </c>
      <c r="D2231" s="5" t="s">
        <v>2599</v>
      </c>
      <c r="E2231" s="5" t="s">
        <v>252</v>
      </c>
      <c r="F2231" s="3" t="s">
        <v>2600</v>
      </c>
      <c r="G2231" s="3" t="str">
        <f>"00454387"</f>
        <v>00454387</v>
      </c>
    </row>
    <row r="2232" spans="1:7" x14ac:dyDescent="0.25">
      <c r="A2232" s="2">
        <v>2231</v>
      </c>
      <c r="B2232" s="3">
        <v>6487</v>
      </c>
      <c r="C2232" s="5" t="s">
        <v>1223</v>
      </c>
      <c r="D2232" s="5" t="s">
        <v>195</v>
      </c>
      <c r="E2232" s="5" t="s">
        <v>252</v>
      </c>
      <c r="F2232" s="3" t="s">
        <v>1224</v>
      </c>
      <c r="G2232" s="3" t="str">
        <f>"201406014740"</f>
        <v>201406014740</v>
      </c>
    </row>
    <row r="2233" spans="1:7" x14ac:dyDescent="0.25">
      <c r="A2233" s="2">
        <v>2232</v>
      </c>
      <c r="B2233" s="3">
        <v>10835</v>
      </c>
      <c r="C2233" s="5" t="s">
        <v>4615</v>
      </c>
      <c r="D2233" s="5" t="s">
        <v>4614</v>
      </c>
      <c r="E2233" s="5" t="s">
        <v>129</v>
      </c>
      <c r="F2233" s="3" t="s">
        <v>4616</v>
      </c>
      <c r="G2233" s="3" t="str">
        <f>"00142742"</f>
        <v>00142742</v>
      </c>
    </row>
    <row r="2234" spans="1:7" x14ac:dyDescent="0.25">
      <c r="A2234" s="2">
        <v>2233</v>
      </c>
      <c r="B2234" s="3">
        <v>12301</v>
      </c>
      <c r="C2234" s="5" t="s">
        <v>1433</v>
      </c>
      <c r="D2234" s="5" t="s">
        <v>1432</v>
      </c>
      <c r="E2234" s="5" t="s">
        <v>14</v>
      </c>
      <c r="F2234" s="3" t="s">
        <v>1434</v>
      </c>
      <c r="G2234" s="3" t="str">
        <f>"201404000100"</f>
        <v>201404000100</v>
      </c>
    </row>
    <row r="2235" spans="1:7" x14ac:dyDescent="0.25">
      <c r="A2235" s="2">
        <v>2234</v>
      </c>
      <c r="B2235" s="3">
        <v>350</v>
      </c>
      <c r="C2235" s="5" t="s">
        <v>3702</v>
      </c>
      <c r="D2235" s="5" t="s">
        <v>87</v>
      </c>
      <c r="E2235" s="5" t="s">
        <v>263</v>
      </c>
      <c r="F2235" s="3" t="s">
        <v>3703</v>
      </c>
      <c r="G2235" s="3" t="str">
        <f>"00981774"</f>
        <v>00981774</v>
      </c>
    </row>
    <row r="2236" spans="1:7" x14ac:dyDescent="0.25">
      <c r="A2236" s="2">
        <v>2235</v>
      </c>
      <c r="B2236" s="3">
        <v>4790</v>
      </c>
      <c r="C2236" s="5" t="s">
        <v>1277</v>
      </c>
      <c r="D2236" s="5" t="s">
        <v>1276</v>
      </c>
      <c r="E2236" s="5" t="s">
        <v>4819</v>
      </c>
      <c r="F2236" s="3" t="s">
        <v>1278</v>
      </c>
      <c r="G2236" s="3" t="str">
        <f>"00982992"</f>
        <v>00982992</v>
      </c>
    </row>
    <row r="2237" spans="1:7" x14ac:dyDescent="0.25">
      <c r="A2237" s="2">
        <v>2236</v>
      </c>
      <c r="B2237" s="3">
        <v>7463</v>
      </c>
      <c r="C2237" s="5" t="s">
        <v>238</v>
      </c>
      <c r="D2237" s="5" t="s">
        <v>126</v>
      </c>
      <c r="E2237" s="5" t="s">
        <v>129</v>
      </c>
      <c r="F2237" s="3" t="s">
        <v>239</v>
      </c>
      <c r="G2237" s="3" t="str">
        <f>"01013996"</f>
        <v>01013996</v>
      </c>
    </row>
    <row r="2238" spans="1:7" x14ac:dyDescent="0.25">
      <c r="A2238" s="2">
        <v>2237</v>
      </c>
      <c r="B2238" s="3">
        <v>12042</v>
      </c>
      <c r="C2238" s="5" t="s">
        <v>3318</v>
      </c>
      <c r="D2238" s="5" t="s">
        <v>87</v>
      </c>
      <c r="E2238" s="5" t="s">
        <v>503</v>
      </c>
      <c r="F2238" s="3" t="s">
        <v>3319</v>
      </c>
      <c r="G2238" s="3" t="str">
        <f>"01015841"</f>
        <v>01015841</v>
      </c>
    </row>
    <row r="2239" spans="1:7" x14ac:dyDescent="0.25">
      <c r="A2239" s="2">
        <v>2238</v>
      </c>
      <c r="B2239" s="3">
        <v>903</v>
      </c>
      <c r="C2239" s="5" t="s">
        <v>2271</v>
      </c>
      <c r="D2239" s="5" t="s">
        <v>1163</v>
      </c>
      <c r="E2239" s="5" t="s">
        <v>87</v>
      </c>
      <c r="F2239" s="3" t="s">
        <v>2272</v>
      </c>
      <c r="G2239" s="3" t="str">
        <f>"00982373"</f>
        <v>00982373</v>
      </c>
    </row>
    <row r="2240" spans="1:7" x14ac:dyDescent="0.25">
      <c r="A2240" s="2">
        <v>2239</v>
      </c>
      <c r="B2240" s="3">
        <v>6529</v>
      </c>
      <c r="C2240" s="5" t="s">
        <v>3097</v>
      </c>
      <c r="D2240" s="5" t="s">
        <v>14</v>
      </c>
      <c r="E2240" s="5" t="s">
        <v>44</v>
      </c>
      <c r="F2240" s="3">
        <v>711273014</v>
      </c>
      <c r="G2240" s="3" t="str">
        <f>"00635645"</f>
        <v>00635645</v>
      </c>
    </row>
    <row r="2241" spans="1:7" x14ac:dyDescent="0.25">
      <c r="A2241" s="2">
        <v>2240</v>
      </c>
      <c r="B2241" s="3">
        <v>10492</v>
      </c>
      <c r="C2241" s="5" t="s">
        <v>2075</v>
      </c>
      <c r="D2241" s="5" t="s">
        <v>113</v>
      </c>
      <c r="E2241" s="5" t="s">
        <v>2772</v>
      </c>
      <c r="F2241" s="3">
        <v>2719960</v>
      </c>
      <c r="G2241" s="3" t="str">
        <f>"00991678"</f>
        <v>00991678</v>
      </c>
    </row>
    <row r="2242" spans="1:7" x14ac:dyDescent="0.25">
      <c r="A2242" s="2">
        <v>2241</v>
      </c>
      <c r="B2242" s="3">
        <v>536</v>
      </c>
      <c r="C2242" s="5" t="s">
        <v>1339</v>
      </c>
      <c r="D2242" s="5" t="s">
        <v>11</v>
      </c>
      <c r="E2242" s="5" t="s">
        <v>667</v>
      </c>
      <c r="F2242" s="3" t="s">
        <v>1340</v>
      </c>
      <c r="G2242" s="3" t="str">
        <f>"01015353"</f>
        <v>01015353</v>
      </c>
    </row>
    <row r="2243" spans="1:7" x14ac:dyDescent="0.25">
      <c r="A2243" s="2">
        <v>2242</v>
      </c>
      <c r="B2243" s="3">
        <v>2679</v>
      </c>
      <c r="C2243" s="5" t="s">
        <v>2626</v>
      </c>
      <c r="D2243" s="5" t="s">
        <v>619</v>
      </c>
      <c r="E2243" s="5" t="s">
        <v>44</v>
      </c>
      <c r="F2243" s="3" t="s">
        <v>2627</v>
      </c>
      <c r="G2243" s="3" t="str">
        <f>"00867469"</f>
        <v>00867469</v>
      </c>
    </row>
    <row r="2244" spans="1:7" x14ac:dyDescent="0.25">
      <c r="A2244" s="2">
        <v>2243</v>
      </c>
      <c r="B2244" s="3">
        <v>12629</v>
      </c>
      <c r="C2244" s="5" t="s">
        <v>4473</v>
      </c>
      <c r="D2244" s="5" t="s">
        <v>87</v>
      </c>
      <c r="E2244" s="5" t="s">
        <v>14</v>
      </c>
      <c r="F2244" s="3" t="s">
        <v>4474</v>
      </c>
      <c r="G2244" s="3" t="str">
        <f>"00980044"</f>
        <v>00980044</v>
      </c>
    </row>
    <row r="2245" spans="1:7" x14ac:dyDescent="0.25">
      <c r="A2245" s="2">
        <v>2244</v>
      </c>
      <c r="B2245" s="3">
        <v>4717</v>
      </c>
      <c r="C2245" s="5" t="s">
        <v>108</v>
      </c>
      <c r="D2245" s="5" t="s">
        <v>107</v>
      </c>
      <c r="E2245" s="5" t="s">
        <v>87</v>
      </c>
      <c r="F2245" s="3" t="s">
        <v>109</v>
      </c>
      <c r="G2245" s="3" t="str">
        <f>"201504003462"</f>
        <v>201504003462</v>
      </c>
    </row>
    <row r="2246" spans="1:7" x14ac:dyDescent="0.25">
      <c r="A2246" s="2">
        <v>2245</v>
      </c>
      <c r="B2246" s="3">
        <v>9481</v>
      </c>
      <c r="C2246" s="5" t="s">
        <v>1862</v>
      </c>
      <c r="D2246" s="5" t="s">
        <v>5</v>
      </c>
      <c r="E2246" s="5" t="s">
        <v>87</v>
      </c>
      <c r="F2246" s="3" t="s">
        <v>1863</v>
      </c>
      <c r="G2246" s="3" t="str">
        <f>"00448813"</f>
        <v>00448813</v>
      </c>
    </row>
    <row r="2247" spans="1:7" x14ac:dyDescent="0.25">
      <c r="A2247" s="2">
        <v>2246</v>
      </c>
      <c r="B2247" s="3">
        <v>5797</v>
      </c>
      <c r="C2247" s="5" t="s">
        <v>4432</v>
      </c>
      <c r="D2247" s="5" t="s">
        <v>4431</v>
      </c>
      <c r="E2247" s="5" t="s">
        <v>44</v>
      </c>
      <c r="F2247" s="3" t="s">
        <v>4433</v>
      </c>
      <c r="G2247" s="3" t="str">
        <f>"00932433"</f>
        <v>00932433</v>
      </c>
    </row>
    <row r="2248" spans="1:7" x14ac:dyDescent="0.25">
      <c r="A2248" s="2">
        <v>2247</v>
      </c>
      <c r="B2248" s="3">
        <v>9839</v>
      </c>
      <c r="C2248" s="5" t="s">
        <v>1659</v>
      </c>
      <c r="D2248" s="5" t="s">
        <v>113</v>
      </c>
      <c r="E2248" s="5" t="s">
        <v>951</v>
      </c>
      <c r="F2248" s="3" t="s">
        <v>2785</v>
      </c>
      <c r="G2248" s="3" t="str">
        <f>"00818758"</f>
        <v>00818758</v>
      </c>
    </row>
    <row r="2249" spans="1:7" x14ac:dyDescent="0.25">
      <c r="A2249" s="2">
        <v>2248</v>
      </c>
      <c r="B2249" s="3">
        <v>1075</v>
      </c>
      <c r="C2249" s="5" t="s">
        <v>1659</v>
      </c>
      <c r="D2249" s="5" t="s">
        <v>94</v>
      </c>
      <c r="E2249" s="5" t="s">
        <v>951</v>
      </c>
      <c r="F2249" s="3">
        <v>709373017</v>
      </c>
      <c r="G2249" s="3" t="str">
        <f>"01007585"</f>
        <v>01007585</v>
      </c>
    </row>
    <row r="2250" spans="1:7" x14ac:dyDescent="0.25">
      <c r="A2250" s="2">
        <v>2249</v>
      </c>
      <c r="B2250" s="3">
        <v>8458</v>
      </c>
      <c r="C2250" s="5" t="s">
        <v>4652</v>
      </c>
      <c r="D2250" s="5" t="s">
        <v>847</v>
      </c>
      <c r="E2250" s="5" t="s">
        <v>41</v>
      </c>
      <c r="F2250" s="3" t="s">
        <v>4653</v>
      </c>
      <c r="G2250" s="3" t="str">
        <f>"00233180"</f>
        <v>00233180</v>
      </c>
    </row>
    <row r="2251" spans="1:7" x14ac:dyDescent="0.25">
      <c r="A2251" s="2">
        <v>2250</v>
      </c>
      <c r="B2251" s="3">
        <v>3238</v>
      </c>
      <c r="C2251" s="5" t="s">
        <v>4091</v>
      </c>
      <c r="D2251" s="5" t="s">
        <v>935</v>
      </c>
      <c r="E2251" s="5" t="s">
        <v>44</v>
      </c>
      <c r="F2251" s="3" t="s">
        <v>4092</v>
      </c>
      <c r="G2251" s="3" t="str">
        <f>"00817169"</f>
        <v>00817169</v>
      </c>
    </row>
    <row r="2252" spans="1:7" x14ac:dyDescent="0.25">
      <c r="A2252" s="2">
        <v>2251</v>
      </c>
      <c r="B2252" s="3">
        <v>5154</v>
      </c>
      <c r="C2252" s="5" t="s">
        <v>2009</v>
      </c>
      <c r="D2252" s="5" t="s">
        <v>2901</v>
      </c>
      <c r="E2252" s="5" t="s">
        <v>844</v>
      </c>
      <c r="F2252" s="3" t="s">
        <v>2902</v>
      </c>
      <c r="G2252" s="3" t="str">
        <f>"00984513"</f>
        <v>00984513</v>
      </c>
    </row>
    <row r="2253" spans="1:7" x14ac:dyDescent="0.25">
      <c r="A2253" s="2">
        <v>2252</v>
      </c>
      <c r="B2253" s="3">
        <v>35</v>
      </c>
      <c r="C2253" s="5" t="s">
        <v>2009</v>
      </c>
      <c r="D2253" s="5" t="s">
        <v>126</v>
      </c>
      <c r="E2253" s="5" t="s">
        <v>844</v>
      </c>
      <c r="F2253" s="3" t="s">
        <v>2010</v>
      </c>
      <c r="G2253" s="3" t="str">
        <f>"00992448"</f>
        <v>00992448</v>
      </c>
    </row>
    <row r="2254" spans="1:7" x14ac:dyDescent="0.25">
      <c r="A2254" s="2">
        <v>2253</v>
      </c>
      <c r="B2254" s="3">
        <v>4202</v>
      </c>
      <c r="C2254" s="5" t="s">
        <v>2034</v>
      </c>
      <c r="D2254" s="5" t="s">
        <v>2033</v>
      </c>
      <c r="E2254" s="5" t="s">
        <v>11</v>
      </c>
      <c r="F2254" s="3" t="s">
        <v>2035</v>
      </c>
      <c r="G2254" s="3" t="str">
        <f>"01015703"</f>
        <v>01015703</v>
      </c>
    </row>
    <row r="2255" spans="1:7" x14ac:dyDescent="0.25">
      <c r="A2255" s="2">
        <v>2254</v>
      </c>
      <c r="B2255" s="3">
        <v>7856</v>
      </c>
      <c r="C2255" s="5" t="s">
        <v>4551</v>
      </c>
      <c r="D2255" s="5" t="s">
        <v>38</v>
      </c>
      <c r="E2255" s="5" t="s">
        <v>87</v>
      </c>
      <c r="F2255" s="3">
        <v>900881019</v>
      </c>
      <c r="G2255" s="3" t="str">
        <f>"00985568"</f>
        <v>00985568</v>
      </c>
    </row>
    <row r="2256" spans="1:7" x14ac:dyDescent="0.25">
      <c r="A2256" s="2">
        <v>2255</v>
      </c>
      <c r="B2256" s="3">
        <v>12449</v>
      </c>
      <c r="C2256" s="5" t="s">
        <v>1279</v>
      </c>
      <c r="D2256" s="5" t="s">
        <v>284</v>
      </c>
      <c r="E2256" s="5" t="s">
        <v>11</v>
      </c>
      <c r="F2256" s="3" t="s">
        <v>1280</v>
      </c>
      <c r="G2256" s="3" t="str">
        <f>"00794970"</f>
        <v>00794970</v>
      </c>
    </row>
    <row r="2257" spans="1:7" x14ac:dyDescent="0.25">
      <c r="A2257" s="2">
        <v>2256</v>
      </c>
      <c r="B2257" s="3">
        <v>7806</v>
      </c>
      <c r="C2257" s="5" t="s">
        <v>3121</v>
      </c>
      <c r="D2257" s="5" t="s">
        <v>1717</v>
      </c>
      <c r="E2257" s="5" t="s">
        <v>87</v>
      </c>
      <c r="F2257" s="3" t="s">
        <v>3122</v>
      </c>
      <c r="G2257" s="3" t="str">
        <f>"00561090"</f>
        <v>00561090</v>
      </c>
    </row>
    <row r="2258" spans="1:7" x14ac:dyDescent="0.25">
      <c r="A2258" s="2">
        <v>2257</v>
      </c>
      <c r="B2258" s="3">
        <v>5982</v>
      </c>
      <c r="C2258" s="5" t="s">
        <v>4287</v>
      </c>
      <c r="D2258" s="5" t="s">
        <v>32</v>
      </c>
      <c r="E2258" s="5" t="s">
        <v>27</v>
      </c>
      <c r="F2258" s="3" t="s">
        <v>4288</v>
      </c>
      <c r="G2258" s="3" t="str">
        <f>"01010913"</f>
        <v>01010913</v>
      </c>
    </row>
    <row r="2259" spans="1:7" x14ac:dyDescent="0.25">
      <c r="A2259" s="2">
        <v>2258</v>
      </c>
      <c r="B2259" s="3">
        <v>5664</v>
      </c>
      <c r="C2259" s="5" t="s">
        <v>3662</v>
      </c>
      <c r="D2259" s="5" t="s">
        <v>3661</v>
      </c>
      <c r="E2259" s="5" t="s">
        <v>951</v>
      </c>
      <c r="F2259" s="3" t="s">
        <v>3663</v>
      </c>
      <c r="G2259" s="3" t="str">
        <f>"00996982"</f>
        <v>00996982</v>
      </c>
    </row>
    <row r="2260" spans="1:7" x14ac:dyDescent="0.25">
      <c r="A2260" s="2">
        <v>2259</v>
      </c>
      <c r="B2260" s="3">
        <v>2820</v>
      </c>
      <c r="C2260" s="5" t="s">
        <v>2339</v>
      </c>
      <c r="D2260" s="5" t="s">
        <v>135</v>
      </c>
      <c r="E2260" s="5" t="s">
        <v>1172</v>
      </c>
      <c r="F2260" s="3" t="s">
        <v>2340</v>
      </c>
      <c r="G2260" s="3" t="str">
        <f>"00446246"</f>
        <v>00446246</v>
      </c>
    </row>
    <row r="2261" spans="1:7" x14ac:dyDescent="0.25">
      <c r="A2261" s="2">
        <v>2260</v>
      </c>
      <c r="B2261" s="3">
        <v>1979</v>
      </c>
      <c r="C2261" s="5" t="s">
        <v>4064</v>
      </c>
      <c r="D2261" s="5" t="s">
        <v>1152</v>
      </c>
      <c r="E2261" s="5" t="s">
        <v>87</v>
      </c>
      <c r="F2261" s="3">
        <v>2738111</v>
      </c>
      <c r="G2261" s="3" t="str">
        <f>"00986533"</f>
        <v>00986533</v>
      </c>
    </row>
    <row r="2262" spans="1:7" x14ac:dyDescent="0.25">
      <c r="A2262" s="2">
        <v>2261</v>
      </c>
      <c r="B2262" s="3">
        <v>12090</v>
      </c>
      <c r="C2262" s="5" t="s">
        <v>4751</v>
      </c>
      <c r="D2262" s="5" t="s">
        <v>865</v>
      </c>
      <c r="E2262" s="5" t="s">
        <v>44</v>
      </c>
      <c r="F2262" s="3" t="s">
        <v>4752</v>
      </c>
      <c r="G2262" s="3" t="str">
        <f>"00740445"</f>
        <v>00740445</v>
      </c>
    </row>
    <row r="2263" spans="1:7" x14ac:dyDescent="0.25">
      <c r="A2263" s="2">
        <v>2262</v>
      </c>
      <c r="B2263" s="3">
        <v>1329</v>
      </c>
      <c r="C2263" s="5" t="s">
        <v>2335</v>
      </c>
      <c r="D2263" s="5" t="s">
        <v>14</v>
      </c>
      <c r="E2263" s="5" t="s">
        <v>5</v>
      </c>
      <c r="F2263" s="3" t="s">
        <v>2336</v>
      </c>
      <c r="G2263" s="3" t="str">
        <f>"00450991"</f>
        <v>00450991</v>
      </c>
    </row>
    <row r="2264" spans="1:7" x14ac:dyDescent="0.25">
      <c r="A2264" s="2">
        <v>2263</v>
      </c>
      <c r="B2264" s="3">
        <v>2171</v>
      </c>
      <c r="C2264" s="5" t="s">
        <v>1665</v>
      </c>
      <c r="D2264" s="5" t="s">
        <v>87</v>
      </c>
      <c r="E2264" s="5" t="s">
        <v>284</v>
      </c>
      <c r="F2264" s="3" t="s">
        <v>1666</v>
      </c>
      <c r="G2264" s="3" t="str">
        <f>"00817131"</f>
        <v>00817131</v>
      </c>
    </row>
    <row r="2265" spans="1:7" x14ac:dyDescent="0.25">
      <c r="A2265" s="2">
        <v>2264</v>
      </c>
      <c r="B2265" s="3">
        <v>8215</v>
      </c>
      <c r="C2265" s="5" t="s">
        <v>535</v>
      </c>
      <c r="D2265" s="5" t="s">
        <v>3752</v>
      </c>
      <c r="E2265" s="5" t="s">
        <v>545</v>
      </c>
      <c r="F2265" s="3">
        <v>2015218</v>
      </c>
      <c r="G2265" s="3" t="str">
        <f>"00925621"</f>
        <v>00925621</v>
      </c>
    </row>
    <row r="2266" spans="1:7" x14ac:dyDescent="0.25">
      <c r="A2266" s="2">
        <v>2265</v>
      </c>
      <c r="B2266" s="3">
        <v>3064</v>
      </c>
      <c r="C2266" s="5" t="s">
        <v>535</v>
      </c>
      <c r="D2266" s="5" t="s">
        <v>534</v>
      </c>
      <c r="E2266" s="5" t="s">
        <v>214</v>
      </c>
      <c r="F2266" s="3" t="s">
        <v>536</v>
      </c>
      <c r="G2266" s="3" t="str">
        <f>"01015876"</f>
        <v>01015876</v>
      </c>
    </row>
    <row r="2267" spans="1:7" x14ac:dyDescent="0.25">
      <c r="A2267" s="2">
        <v>2266</v>
      </c>
      <c r="B2267" s="3">
        <v>3658</v>
      </c>
      <c r="C2267" s="5" t="s">
        <v>535</v>
      </c>
      <c r="D2267" s="5" t="s">
        <v>1412</v>
      </c>
      <c r="E2267" s="5" t="s">
        <v>11</v>
      </c>
      <c r="F2267" s="3" t="s">
        <v>1413</v>
      </c>
      <c r="G2267" s="3" t="str">
        <f>"00872369"</f>
        <v>00872369</v>
      </c>
    </row>
    <row r="2268" spans="1:7" x14ac:dyDescent="0.25">
      <c r="A2268" s="2">
        <v>2267</v>
      </c>
      <c r="B2268" s="3">
        <v>4742</v>
      </c>
      <c r="C2268" s="5" t="s">
        <v>1586</v>
      </c>
      <c r="D2268" s="5" t="s">
        <v>1432</v>
      </c>
      <c r="E2268" s="5" t="s">
        <v>87</v>
      </c>
      <c r="F2268" s="3" t="s">
        <v>1587</v>
      </c>
      <c r="G2268" s="3" t="str">
        <f>"00984837"</f>
        <v>00984837</v>
      </c>
    </row>
    <row r="2269" spans="1:7" x14ac:dyDescent="0.25">
      <c r="A2269" s="2">
        <v>2268</v>
      </c>
      <c r="B2269" s="3">
        <v>6885</v>
      </c>
      <c r="C2269" s="5" t="s">
        <v>1227</v>
      </c>
      <c r="D2269" s="5" t="s">
        <v>11</v>
      </c>
      <c r="E2269" s="5" t="s">
        <v>2659</v>
      </c>
      <c r="F2269" s="3" t="s">
        <v>1228</v>
      </c>
      <c r="G2269" s="3" t="str">
        <f>"00421178"</f>
        <v>00421178</v>
      </c>
    </row>
    <row r="2270" spans="1:7" x14ac:dyDescent="0.25">
      <c r="A2270" s="2">
        <v>2269</v>
      </c>
      <c r="B2270" s="3">
        <v>2030</v>
      </c>
      <c r="C2270" s="5" t="s">
        <v>4597</v>
      </c>
      <c r="D2270" s="5" t="s">
        <v>113</v>
      </c>
      <c r="E2270" s="5" t="s">
        <v>87</v>
      </c>
      <c r="F2270" s="3" t="s">
        <v>4598</v>
      </c>
      <c r="G2270" s="3" t="str">
        <f>"00403819"</f>
        <v>00403819</v>
      </c>
    </row>
    <row r="2271" spans="1:7" x14ac:dyDescent="0.25">
      <c r="A2271" s="2">
        <v>2270</v>
      </c>
      <c r="B2271" s="3">
        <v>10628</v>
      </c>
      <c r="C2271" s="5" t="s">
        <v>2377</v>
      </c>
      <c r="D2271" s="5" t="s">
        <v>416</v>
      </c>
      <c r="E2271" s="5" t="s">
        <v>82</v>
      </c>
      <c r="F2271" s="3" t="s">
        <v>2378</v>
      </c>
      <c r="G2271" s="3" t="str">
        <f>"00877731"</f>
        <v>00877731</v>
      </c>
    </row>
    <row r="2272" spans="1:7" x14ac:dyDescent="0.25">
      <c r="A2272" s="2">
        <v>2271</v>
      </c>
      <c r="B2272" s="3">
        <v>7855</v>
      </c>
      <c r="C2272" s="5" t="s">
        <v>2472</v>
      </c>
      <c r="D2272" s="5" t="s">
        <v>622</v>
      </c>
      <c r="E2272" s="5" t="s">
        <v>4856</v>
      </c>
      <c r="F2272" s="3" t="s">
        <v>2473</v>
      </c>
      <c r="G2272" s="3" t="str">
        <f>"00985551"</f>
        <v>00985551</v>
      </c>
    </row>
    <row r="2273" spans="1:7" x14ac:dyDescent="0.25">
      <c r="A2273" s="2">
        <v>2272</v>
      </c>
      <c r="B2273" s="3">
        <v>8657</v>
      </c>
      <c r="C2273" s="5" t="s">
        <v>2429</v>
      </c>
      <c r="D2273" s="5" t="s">
        <v>52</v>
      </c>
      <c r="E2273" s="5" t="s">
        <v>5</v>
      </c>
      <c r="F2273" s="3" t="s">
        <v>2430</v>
      </c>
      <c r="G2273" s="3" t="str">
        <f>"00941336"</f>
        <v>00941336</v>
      </c>
    </row>
    <row r="2274" spans="1:7" x14ac:dyDescent="0.25">
      <c r="A2274" s="2">
        <v>2273</v>
      </c>
      <c r="B2274" s="3">
        <v>3174</v>
      </c>
      <c r="C2274" s="5" t="s">
        <v>215</v>
      </c>
      <c r="D2274" s="5" t="s">
        <v>214</v>
      </c>
      <c r="E2274" s="5" t="s">
        <v>2659</v>
      </c>
      <c r="F2274" s="3" t="s">
        <v>216</v>
      </c>
      <c r="G2274" s="3" t="str">
        <f>"01016176"</f>
        <v>01016176</v>
      </c>
    </row>
    <row r="2275" spans="1:7" x14ac:dyDescent="0.25">
      <c r="A2275" s="2">
        <v>2274</v>
      </c>
      <c r="B2275" s="3">
        <v>4334</v>
      </c>
      <c r="C2275" s="5" t="s">
        <v>3369</v>
      </c>
      <c r="D2275" s="5" t="s">
        <v>5</v>
      </c>
      <c r="E2275" s="5" t="s">
        <v>252</v>
      </c>
      <c r="F2275" s="3" t="s">
        <v>3370</v>
      </c>
      <c r="G2275" s="3" t="str">
        <f>"00981133"</f>
        <v>00981133</v>
      </c>
    </row>
    <row r="2276" spans="1:7" x14ac:dyDescent="0.25">
      <c r="A2276" s="2">
        <v>2275</v>
      </c>
      <c r="B2276" s="3">
        <v>12968</v>
      </c>
      <c r="C2276" s="5" t="s">
        <v>364</v>
      </c>
      <c r="D2276" s="5" t="s">
        <v>52</v>
      </c>
      <c r="E2276" s="5" t="s">
        <v>11</v>
      </c>
      <c r="F2276" s="3" t="s">
        <v>1591</v>
      </c>
      <c r="G2276" s="3" t="str">
        <f>"00276597"</f>
        <v>00276597</v>
      </c>
    </row>
    <row r="2277" spans="1:7" x14ac:dyDescent="0.25">
      <c r="A2277" s="2">
        <v>2276</v>
      </c>
      <c r="B2277" s="3">
        <v>9756</v>
      </c>
      <c r="C2277" s="5" t="s">
        <v>364</v>
      </c>
      <c r="D2277" s="5" t="s">
        <v>82</v>
      </c>
      <c r="E2277" s="5" t="s">
        <v>4814</v>
      </c>
      <c r="F2277" s="3" t="s">
        <v>3020</v>
      </c>
      <c r="G2277" s="3" t="str">
        <f>"00888859"</f>
        <v>00888859</v>
      </c>
    </row>
    <row r="2278" spans="1:7" x14ac:dyDescent="0.25">
      <c r="A2278" s="2">
        <v>2277</v>
      </c>
      <c r="B2278" s="3">
        <v>9416</v>
      </c>
      <c r="C2278" s="5" t="s">
        <v>364</v>
      </c>
      <c r="D2278" s="5" t="s">
        <v>44</v>
      </c>
      <c r="E2278" s="5" t="s">
        <v>364</v>
      </c>
      <c r="F2278" s="3" t="s">
        <v>365</v>
      </c>
      <c r="G2278" s="3" t="str">
        <f>"00991181"</f>
        <v>00991181</v>
      </c>
    </row>
    <row r="2279" spans="1:7" x14ac:dyDescent="0.25">
      <c r="A2279" s="2">
        <v>2278</v>
      </c>
      <c r="B2279" s="3">
        <v>4756</v>
      </c>
      <c r="C2279" s="5" t="s">
        <v>364</v>
      </c>
      <c r="D2279" s="5" t="s">
        <v>479</v>
      </c>
      <c r="E2279" s="5" t="s">
        <v>52</v>
      </c>
      <c r="F2279" s="3" t="s">
        <v>480</v>
      </c>
      <c r="G2279" s="3" t="str">
        <f>"00444348"</f>
        <v>00444348</v>
      </c>
    </row>
    <row r="2280" spans="1:7" x14ac:dyDescent="0.25">
      <c r="A2280" s="2">
        <v>2279</v>
      </c>
      <c r="B2280" s="3">
        <v>17</v>
      </c>
      <c r="C2280" s="5" t="s">
        <v>2397</v>
      </c>
      <c r="D2280" s="5" t="s">
        <v>2396</v>
      </c>
      <c r="E2280" s="5" t="s">
        <v>44</v>
      </c>
      <c r="F2280" s="3" t="s">
        <v>2398</v>
      </c>
      <c r="G2280" s="3" t="str">
        <f>"00786331"</f>
        <v>00786331</v>
      </c>
    </row>
    <row r="2281" spans="1:7" x14ac:dyDescent="0.25">
      <c r="A2281" s="2">
        <v>2280</v>
      </c>
      <c r="B2281" s="3">
        <v>707</v>
      </c>
      <c r="C2281" s="5" t="s">
        <v>4707</v>
      </c>
      <c r="D2281" s="5" t="s">
        <v>307</v>
      </c>
      <c r="E2281" s="5" t="s">
        <v>129</v>
      </c>
      <c r="F2281" s="3" t="s">
        <v>4708</v>
      </c>
      <c r="G2281" s="3" t="str">
        <f>"00817298"</f>
        <v>00817298</v>
      </c>
    </row>
    <row r="2282" spans="1:7" x14ac:dyDescent="0.25">
      <c r="A2282" s="2">
        <v>2281</v>
      </c>
      <c r="B2282" s="3">
        <v>3244</v>
      </c>
      <c r="C2282" s="5" t="s">
        <v>4672</v>
      </c>
      <c r="D2282" s="5" t="s">
        <v>167</v>
      </c>
      <c r="E2282" s="5" t="s">
        <v>14</v>
      </c>
      <c r="F2282" s="3" t="s">
        <v>4673</v>
      </c>
      <c r="G2282" s="3" t="str">
        <f>"00984374"</f>
        <v>00984374</v>
      </c>
    </row>
    <row r="2283" spans="1:7" x14ac:dyDescent="0.25">
      <c r="A2283" s="2">
        <v>2282</v>
      </c>
      <c r="B2283" s="3">
        <v>10490</v>
      </c>
      <c r="C2283" s="5" t="s">
        <v>2789</v>
      </c>
      <c r="D2283" s="5" t="s">
        <v>44</v>
      </c>
      <c r="E2283" s="5" t="s">
        <v>52</v>
      </c>
      <c r="F2283" s="3" t="s">
        <v>2790</v>
      </c>
      <c r="G2283" s="3" t="str">
        <f>"00315114"</f>
        <v>00315114</v>
      </c>
    </row>
    <row r="2284" spans="1:7" x14ac:dyDescent="0.25">
      <c r="A2284" s="2">
        <v>2283</v>
      </c>
      <c r="B2284" s="3">
        <v>5598</v>
      </c>
      <c r="C2284" s="5" t="s">
        <v>3829</v>
      </c>
      <c r="D2284" s="5" t="s">
        <v>3828</v>
      </c>
      <c r="E2284" s="5" t="s">
        <v>622</v>
      </c>
      <c r="F2284" s="3" t="s">
        <v>3830</v>
      </c>
      <c r="G2284" s="3" t="str">
        <f>"00438430"</f>
        <v>00438430</v>
      </c>
    </row>
    <row r="2285" spans="1:7" x14ac:dyDescent="0.25">
      <c r="A2285" s="2">
        <v>2284</v>
      </c>
      <c r="B2285" s="3">
        <v>11829</v>
      </c>
      <c r="C2285" s="5" t="s">
        <v>3052</v>
      </c>
      <c r="D2285" s="5" t="s">
        <v>63</v>
      </c>
      <c r="E2285" s="5" t="s">
        <v>1292</v>
      </c>
      <c r="F2285" s="3" t="s">
        <v>3053</v>
      </c>
      <c r="G2285" s="3" t="str">
        <f>"00172813"</f>
        <v>00172813</v>
      </c>
    </row>
    <row r="2286" spans="1:7" x14ac:dyDescent="0.25">
      <c r="A2286" s="2">
        <v>2285</v>
      </c>
      <c r="B2286" s="3">
        <v>6731</v>
      </c>
      <c r="C2286" s="5" t="s">
        <v>2297</v>
      </c>
      <c r="D2286" s="5" t="s">
        <v>129</v>
      </c>
      <c r="E2286" s="5" t="s">
        <v>214</v>
      </c>
      <c r="F2286" s="3" t="s">
        <v>2298</v>
      </c>
      <c r="G2286" s="3" t="str">
        <f>"01007832"</f>
        <v>01007832</v>
      </c>
    </row>
    <row r="2287" spans="1:7" x14ac:dyDescent="0.25">
      <c r="A2287" s="2">
        <v>2286</v>
      </c>
      <c r="B2287" s="3">
        <v>3458</v>
      </c>
      <c r="C2287" s="5" t="s">
        <v>2977</v>
      </c>
      <c r="D2287" s="5" t="s">
        <v>2976</v>
      </c>
      <c r="E2287" s="5" t="s">
        <v>32</v>
      </c>
      <c r="F2287" s="3">
        <v>90851</v>
      </c>
      <c r="G2287" s="3" t="str">
        <f>"00448095"</f>
        <v>00448095</v>
      </c>
    </row>
    <row r="2288" spans="1:7" x14ac:dyDescent="0.25">
      <c r="A2288" s="2">
        <v>2287</v>
      </c>
      <c r="B2288" s="3">
        <v>5877</v>
      </c>
      <c r="C2288" s="5" t="s">
        <v>2757</v>
      </c>
      <c r="D2288" s="5" t="s">
        <v>3583</v>
      </c>
      <c r="E2288" s="5" t="s">
        <v>52</v>
      </c>
      <c r="F2288" s="3" t="s">
        <v>4270</v>
      </c>
      <c r="G2288" s="3" t="str">
        <f>"00981757"</f>
        <v>00981757</v>
      </c>
    </row>
    <row r="2289" spans="1:7" x14ac:dyDescent="0.25">
      <c r="A2289" s="2">
        <v>2288</v>
      </c>
      <c r="B2289" s="3">
        <v>11010</v>
      </c>
      <c r="C2289" s="5" t="s">
        <v>2757</v>
      </c>
      <c r="D2289" s="5" t="s">
        <v>129</v>
      </c>
      <c r="E2289" s="5" t="s">
        <v>27</v>
      </c>
      <c r="F2289" s="3" t="s">
        <v>2758</v>
      </c>
      <c r="G2289" s="3" t="str">
        <f>"00972917"</f>
        <v>00972917</v>
      </c>
    </row>
    <row r="2290" spans="1:7" x14ac:dyDescent="0.25">
      <c r="A2290" s="2">
        <v>2289</v>
      </c>
      <c r="B2290" s="3">
        <v>8537</v>
      </c>
      <c r="C2290" s="5" t="s">
        <v>1904</v>
      </c>
      <c r="D2290" s="5" t="s">
        <v>1903</v>
      </c>
      <c r="E2290" s="5" t="s">
        <v>14</v>
      </c>
      <c r="F2290" s="3" t="s">
        <v>1905</v>
      </c>
      <c r="G2290" s="3" t="str">
        <f>"01002404"</f>
        <v>01002404</v>
      </c>
    </row>
    <row r="2291" spans="1:7" x14ac:dyDescent="0.25">
      <c r="A2291" s="2">
        <v>2290</v>
      </c>
      <c r="B2291" s="3">
        <v>7228</v>
      </c>
      <c r="C2291" s="5" t="s">
        <v>4020</v>
      </c>
      <c r="D2291" s="5" t="s">
        <v>87</v>
      </c>
      <c r="E2291" s="5" t="s">
        <v>44</v>
      </c>
      <c r="F2291" s="3" t="s">
        <v>4021</v>
      </c>
      <c r="G2291" s="3" t="str">
        <f>"01013062"</f>
        <v>01013062</v>
      </c>
    </row>
    <row r="2292" spans="1:7" x14ac:dyDescent="0.25">
      <c r="A2292" s="2">
        <v>2291</v>
      </c>
      <c r="B2292" s="3">
        <v>10234</v>
      </c>
      <c r="C2292" s="5" t="s">
        <v>2455</v>
      </c>
      <c r="D2292" s="5" t="s">
        <v>87</v>
      </c>
      <c r="E2292" s="5" t="s">
        <v>667</v>
      </c>
      <c r="F2292" s="3">
        <v>2013014</v>
      </c>
      <c r="G2292" s="3" t="str">
        <f>"00705295"</f>
        <v>00705295</v>
      </c>
    </row>
    <row r="2293" spans="1:7" x14ac:dyDescent="0.25">
      <c r="A2293" s="2">
        <v>2292</v>
      </c>
      <c r="B2293" s="3">
        <v>5804</v>
      </c>
      <c r="C2293" s="5" t="s">
        <v>2092</v>
      </c>
      <c r="D2293" s="5" t="s">
        <v>126</v>
      </c>
      <c r="E2293" s="5" t="s">
        <v>35</v>
      </c>
      <c r="F2293" s="3" t="s">
        <v>2093</v>
      </c>
      <c r="G2293" s="3" t="str">
        <f>"00983678"</f>
        <v>00983678</v>
      </c>
    </row>
    <row r="2294" spans="1:7" x14ac:dyDescent="0.25">
      <c r="A2294" s="2">
        <v>2293</v>
      </c>
      <c r="B2294" s="3">
        <v>10274</v>
      </c>
      <c r="C2294" s="5" t="s">
        <v>1706</v>
      </c>
      <c r="D2294" s="5" t="s">
        <v>1705</v>
      </c>
      <c r="E2294" s="5" t="s">
        <v>207</v>
      </c>
      <c r="F2294" s="3" t="s">
        <v>1707</v>
      </c>
      <c r="G2294" s="3" t="str">
        <f>"00741434"</f>
        <v>00741434</v>
      </c>
    </row>
    <row r="2295" spans="1:7" x14ac:dyDescent="0.25">
      <c r="A2295" s="2">
        <v>2294</v>
      </c>
      <c r="B2295" s="3">
        <v>10769</v>
      </c>
      <c r="C2295" s="5" t="s">
        <v>1430</v>
      </c>
      <c r="D2295" s="5" t="s">
        <v>1429</v>
      </c>
      <c r="E2295" s="5" t="s">
        <v>4392</v>
      </c>
      <c r="F2295" s="3" t="s">
        <v>1431</v>
      </c>
      <c r="G2295" s="3" t="str">
        <f>"00827832"</f>
        <v>00827832</v>
      </c>
    </row>
    <row r="2296" spans="1:7" x14ac:dyDescent="0.25">
      <c r="A2296" s="2">
        <v>2295</v>
      </c>
      <c r="B2296" s="3">
        <v>6424</v>
      </c>
      <c r="C2296" s="5" t="s">
        <v>799</v>
      </c>
      <c r="D2296" s="5" t="s">
        <v>44</v>
      </c>
      <c r="E2296" s="5" t="s">
        <v>52</v>
      </c>
      <c r="F2296" s="3" t="s">
        <v>800</v>
      </c>
      <c r="G2296" s="3" t="str">
        <f>"00219565"</f>
        <v>00219565</v>
      </c>
    </row>
    <row r="2297" spans="1:7" x14ac:dyDescent="0.25">
      <c r="A2297" s="2">
        <v>2296</v>
      </c>
      <c r="B2297" s="3">
        <v>4961</v>
      </c>
      <c r="C2297" s="5" t="s">
        <v>2653</v>
      </c>
      <c r="D2297" s="5" t="s">
        <v>2652</v>
      </c>
      <c r="E2297" s="5" t="s">
        <v>207</v>
      </c>
      <c r="F2297" s="3" t="s">
        <v>2654</v>
      </c>
      <c r="G2297" s="3" t="str">
        <f>"00541460"</f>
        <v>00541460</v>
      </c>
    </row>
    <row r="2298" spans="1:7" x14ac:dyDescent="0.25">
      <c r="A2298" s="2">
        <v>2297</v>
      </c>
      <c r="B2298" s="3">
        <v>10910</v>
      </c>
      <c r="C2298" s="5" t="s">
        <v>2653</v>
      </c>
      <c r="D2298" s="5" t="s">
        <v>4630</v>
      </c>
      <c r="E2298" s="5" t="s">
        <v>129</v>
      </c>
      <c r="F2298" s="3" t="s">
        <v>4631</v>
      </c>
      <c r="G2298" s="3" t="str">
        <f>"00121114"</f>
        <v>00121114</v>
      </c>
    </row>
    <row r="2299" spans="1:7" x14ac:dyDescent="0.25">
      <c r="A2299" s="2">
        <v>2298</v>
      </c>
      <c r="B2299" s="3">
        <v>2069</v>
      </c>
      <c r="C2299" s="5" t="s">
        <v>376</v>
      </c>
      <c r="D2299" s="5" t="s">
        <v>375</v>
      </c>
      <c r="E2299" s="5" t="s">
        <v>135</v>
      </c>
      <c r="F2299" s="3" t="s">
        <v>377</v>
      </c>
      <c r="G2299" s="3" t="str">
        <f>"00979183"</f>
        <v>00979183</v>
      </c>
    </row>
    <row r="2300" spans="1:7" x14ac:dyDescent="0.25">
      <c r="A2300" s="2">
        <v>2299</v>
      </c>
      <c r="B2300" s="3">
        <v>12504</v>
      </c>
      <c r="C2300" s="5" t="s">
        <v>2922</v>
      </c>
      <c r="D2300" s="5" t="s">
        <v>129</v>
      </c>
      <c r="E2300" s="5" t="s">
        <v>102</v>
      </c>
      <c r="F2300" s="3">
        <v>710284016</v>
      </c>
      <c r="G2300" s="3" t="str">
        <f>"01012844"</f>
        <v>01012844</v>
      </c>
    </row>
    <row r="2301" spans="1:7" x14ac:dyDescent="0.25">
      <c r="A2301" s="2">
        <v>2300</v>
      </c>
      <c r="B2301" s="3">
        <v>1201</v>
      </c>
      <c r="C2301" s="5" t="s">
        <v>1984</v>
      </c>
      <c r="D2301" s="5" t="s">
        <v>126</v>
      </c>
      <c r="E2301" s="5" t="s">
        <v>14</v>
      </c>
      <c r="F2301" s="3" t="s">
        <v>1985</v>
      </c>
      <c r="G2301" s="3" t="str">
        <f>"00986972"</f>
        <v>00986972</v>
      </c>
    </row>
    <row r="2302" spans="1:7" x14ac:dyDescent="0.25">
      <c r="A2302" s="2">
        <v>2301</v>
      </c>
      <c r="B2302" s="3">
        <v>10336</v>
      </c>
      <c r="C2302" s="5" t="s">
        <v>158</v>
      </c>
      <c r="D2302" s="5" t="s">
        <v>52</v>
      </c>
      <c r="E2302" s="5" t="s">
        <v>4787</v>
      </c>
      <c r="F2302" s="3">
        <v>709771029</v>
      </c>
      <c r="G2302" s="3" t="str">
        <f>"00329600"</f>
        <v>00329600</v>
      </c>
    </row>
    <row r="2303" spans="1:7" x14ac:dyDescent="0.25">
      <c r="A2303" s="2">
        <v>2302</v>
      </c>
      <c r="B2303" s="3">
        <v>7519</v>
      </c>
      <c r="C2303" s="5" t="s">
        <v>4460</v>
      </c>
      <c r="D2303" s="5" t="s">
        <v>1717</v>
      </c>
      <c r="E2303" s="5" t="s">
        <v>11</v>
      </c>
      <c r="F2303" s="3" t="s">
        <v>4461</v>
      </c>
      <c r="G2303" s="3" t="str">
        <f>"00980006"</f>
        <v>00980006</v>
      </c>
    </row>
    <row r="2304" spans="1:7" x14ac:dyDescent="0.25">
      <c r="A2304" s="2">
        <v>2303</v>
      </c>
      <c r="B2304" s="3">
        <v>11708</v>
      </c>
      <c r="C2304" s="5" t="s">
        <v>1494</v>
      </c>
      <c r="D2304" s="5" t="s">
        <v>66</v>
      </c>
      <c r="E2304" s="5" t="s">
        <v>667</v>
      </c>
      <c r="F2304" s="3" t="s">
        <v>1495</v>
      </c>
      <c r="G2304" s="3" t="str">
        <f>"00530506"</f>
        <v>00530506</v>
      </c>
    </row>
    <row r="2305" spans="1:7" x14ac:dyDescent="0.25">
      <c r="A2305" s="2">
        <v>2304</v>
      </c>
      <c r="B2305" s="3">
        <v>8627</v>
      </c>
      <c r="C2305" s="5" t="s">
        <v>4684</v>
      </c>
      <c r="D2305" s="5" t="s">
        <v>44</v>
      </c>
      <c r="E2305" s="5" t="s">
        <v>5</v>
      </c>
      <c r="F2305" s="3" t="s">
        <v>4685</v>
      </c>
      <c r="G2305" s="3" t="str">
        <f>"00717182"</f>
        <v>00717182</v>
      </c>
    </row>
    <row r="2306" spans="1:7" x14ac:dyDescent="0.25">
      <c r="A2306" s="2">
        <v>2305</v>
      </c>
      <c r="B2306" s="3">
        <v>849</v>
      </c>
      <c r="C2306" s="5" t="s">
        <v>2553</v>
      </c>
      <c r="D2306" s="5" t="s">
        <v>1046</v>
      </c>
      <c r="E2306" s="5" t="s">
        <v>382</v>
      </c>
      <c r="F2306" s="3" t="s">
        <v>2554</v>
      </c>
      <c r="G2306" s="3" t="str">
        <f>"00411430"</f>
        <v>00411430</v>
      </c>
    </row>
    <row r="2307" spans="1:7" x14ac:dyDescent="0.25">
      <c r="A2307" s="2">
        <v>2306</v>
      </c>
      <c r="B2307" s="3">
        <v>8749</v>
      </c>
      <c r="C2307" s="5" t="s">
        <v>248</v>
      </c>
      <c r="D2307" s="5" t="s">
        <v>11</v>
      </c>
      <c r="E2307" s="5" t="s">
        <v>113</v>
      </c>
      <c r="F2307" s="3">
        <v>2016250</v>
      </c>
      <c r="G2307" s="3" t="str">
        <f>"00980413"</f>
        <v>00980413</v>
      </c>
    </row>
    <row r="2308" spans="1:7" x14ac:dyDescent="0.25">
      <c r="A2308" s="2">
        <v>2307</v>
      </c>
      <c r="B2308" s="3">
        <v>10664</v>
      </c>
      <c r="C2308" s="5" t="s">
        <v>2745</v>
      </c>
      <c r="D2308" s="5" t="s">
        <v>307</v>
      </c>
      <c r="E2308" s="5" t="s">
        <v>11</v>
      </c>
      <c r="F2308" s="3" t="s">
        <v>2746</v>
      </c>
      <c r="G2308" s="3" t="str">
        <f>"00766090"</f>
        <v>00766090</v>
      </c>
    </row>
    <row r="2309" spans="1:7" x14ac:dyDescent="0.25">
      <c r="A2309" s="2">
        <v>2308</v>
      </c>
      <c r="B2309" s="3">
        <v>8283</v>
      </c>
      <c r="C2309" s="5" t="s">
        <v>4462</v>
      </c>
      <c r="D2309" s="5" t="s">
        <v>440</v>
      </c>
      <c r="E2309" s="5" t="s">
        <v>4911</v>
      </c>
      <c r="F2309" s="3" t="s">
        <v>4463</v>
      </c>
      <c r="G2309" s="3" t="str">
        <f>"00983918"</f>
        <v>00983918</v>
      </c>
    </row>
    <row r="2310" spans="1:7" x14ac:dyDescent="0.25">
      <c r="A2310" s="2">
        <v>2309</v>
      </c>
      <c r="B2310" s="3">
        <v>59</v>
      </c>
      <c r="C2310" s="5" t="s">
        <v>42</v>
      </c>
      <c r="D2310" s="5" t="s">
        <v>41</v>
      </c>
      <c r="E2310" s="5" t="s">
        <v>52</v>
      </c>
      <c r="F2310" s="3" t="s">
        <v>43</v>
      </c>
      <c r="G2310" s="3" t="str">
        <f>"01017805"</f>
        <v>01017805</v>
      </c>
    </row>
    <row r="2311" spans="1:7" x14ac:dyDescent="0.25">
      <c r="A2311" s="2">
        <v>2310</v>
      </c>
      <c r="B2311" s="3">
        <v>1581</v>
      </c>
      <c r="C2311" s="5" t="s">
        <v>1986</v>
      </c>
      <c r="D2311" s="5" t="s">
        <v>18</v>
      </c>
      <c r="E2311" s="5" t="s">
        <v>810</v>
      </c>
      <c r="F2311" s="3" t="s">
        <v>1987</v>
      </c>
      <c r="G2311" s="3" t="str">
        <f>"00978800"</f>
        <v>00978800</v>
      </c>
    </row>
    <row r="2312" spans="1:7" x14ac:dyDescent="0.25">
      <c r="A2312" s="2">
        <v>2311</v>
      </c>
      <c r="B2312" s="3">
        <v>9413</v>
      </c>
      <c r="C2312" s="5" t="s">
        <v>406</v>
      </c>
      <c r="D2312" s="5" t="s">
        <v>52</v>
      </c>
      <c r="E2312" s="5" t="s">
        <v>129</v>
      </c>
      <c r="F2312" s="3" t="s">
        <v>407</v>
      </c>
      <c r="G2312" s="3" t="str">
        <f>"00982635"</f>
        <v>00982635</v>
      </c>
    </row>
    <row r="2313" spans="1:7" x14ac:dyDescent="0.25">
      <c r="A2313" s="2">
        <v>2312</v>
      </c>
      <c r="B2313" s="3">
        <v>9536</v>
      </c>
      <c r="C2313" s="5" t="s">
        <v>3375</v>
      </c>
      <c r="D2313" s="5" t="s">
        <v>14</v>
      </c>
      <c r="E2313" s="5" t="s">
        <v>11</v>
      </c>
      <c r="F2313" s="3" t="s">
        <v>3376</v>
      </c>
      <c r="G2313" s="3" t="str">
        <f>"00984945"</f>
        <v>00984945</v>
      </c>
    </row>
    <row r="2314" spans="1:7" x14ac:dyDescent="0.25">
      <c r="A2314" s="2">
        <v>2313</v>
      </c>
      <c r="B2314" s="3">
        <v>7877</v>
      </c>
      <c r="C2314" s="5" t="s">
        <v>285</v>
      </c>
      <c r="D2314" s="5" t="s">
        <v>284</v>
      </c>
      <c r="E2314" s="5" t="s">
        <v>44</v>
      </c>
      <c r="F2314" s="3" t="s">
        <v>286</v>
      </c>
      <c r="G2314" s="3" t="str">
        <f>"00090711"</f>
        <v>00090711</v>
      </c>
    </row>
    <row r="2315" spans="1:7" x14ac:dyDescent="0.25">
      <c r="A2315" s="2">
        <v>2314</v>
      </c>
      <c r="B2315" s="3">
        <v>8543</v>
      </c>
      <c r="C2315" s="5" t="s">
        <v>2284</v>
      </c>
      <c r="D2315" s="5" t="s">
        <v>129</v>
      </c>
      <c r="E2315" s="5" t="s">
        <v>70</v>
      </c>
      <c r="F2315" s="3" t="s">
        <v>2285</v>
      </c>
      <c r="G2315" s="3" t="str">
        <f>"01015312"</f>
        <v>01015312</v>
      </c>
    </row>
    <row r="2316" spans="1:7" x14ac:dyDescent="0.25">
      <c r="A2316" s="2">
        <v>2315</v>
      </c>
      <c r="B2316" s="3">
        <v>3664</v>
      </c>
      <c r="C2316" s="5" t="s">
        <v>3799</v>
      </c>
      <c r="D2316" s="5" t="s">
        <v>3798</v>
      </c>
      <c r="E2316" s="5" t="s">
        <v>284</v>
      </c>
      <c r="F2316" s="3" t="s">
        <v>3800</v>
      </c>
      <c r="G2316" s="3" t="str">
        <f>"00586180"</f>
        <v>00586180</v>
      </c>
    </row>
    <row r="2317" spans="1:7" x14ac:dyDescent="0.25">
      <c r="A2317" s="2">
        <v>2316</v>
      </c>
      <c r="B2317" s="3">
        <v>1372</v>
      </c>
      <c r="C2317" s="5" t="s">
        <v>1482</v>
      </c>
      <c r="D2317" s="5" t="s">
        <v>52</v>
      </c>
      <c r="E2317" s="5" t="s">
        <v>3583</v>
      </c>
      <c r="F2317" s="3" t="s">
        <v>1483</v>
      </c>
      <c r="G2317" s="3" t="str">
        <f>"00986618"</f>
        <v>00986618</v>
      </c>
    </row>
    <row r="2318" spans="1:7" x14ac:dyDescent="0.25">
      <c r="A2318" s="2">
        <v>2317</v>
      </c>
      <c r="B2318" s="3">
        <v>908</v>
      </c>
      <c r="C2318" s="5" t="s">
        <v>1883</v>
      </c>
      <c r="D2318" s="5" t="s">
        <v>622</v>
      </c>
      <c r="E2318" s="5" t="s">
        <v>52</v>
      </c>
      <c r="F2318" s="3" t="s">
        <v>1884</v>
      </c>
      <c r="G2318" s="3" t="str">
        <f>"00272803"</f>
        <v>00272803</v>
      </c>
    </row>
    <row r="2319" spans="1:7" x14ac:dyDescent="0.25">
      <c r="A2319" s="2">
        <v>2318</v>
      </c>
      <c r="B2319" s="3">
        <v>9889</v>
      </c>
      <c r="C2319" s="5" t="s">
        <v>2101</v>
      </c>
      <c r="D2319" s="5" t="s">
        <v>126</v>
      </c>
      <c r="E2319" s="5" t="s">
        <v>2204</v>
      </c>
      <c r="F2319" s="3" t="s">
        <v>2102</v>
      </c>
      <c r="G2319" s="3" t="str">
        <f>"00218637"</f>
        <v>00218637</v>
      </c>
    </row>
    <row r="2320" spans="1:7" x14ac:dyDescent="0.25">
      <c r="A2320" s="2">
        <v>2319</v>
      </c>
      <c r="B2320" s="3">
        <v>12575</v>
      </c>
      <c r="C2320" s="5" t="s">
        <v>2674</v>
      </c>
      <c r="D2320" s="5" t="s">
        <v>667</v>
      </c>
      <c r="E2320" s="5" t="s">
        <v>4861</v>
      </c>
      <c r="F2320" s="3" t="s">
        <v>2675</v>
      </c>
      <c r="G2320" s="3" t="str">
        <f>"00980420"</f>
        <v>00980420</v>
      </c>
    </row>
    <row r="2321" spans="1:7" x14ac:dyDescent="0.25">
      <c r="A2321" s="2">
        <v>2320</v>
      </c>
      <c r="B2321" s="3">
        <v>8827</v>
      </c>
      <c r="C2321" s="5" t="s">
        <v>3606</v>
      </c>
      <c r="D2321" s="5" t="s">
        <v>3605</v>
      </c>
      <c r="E2321" s="5" t="s">
        <v>5</v>
      </c>
      <c r="F2321" s="3" t="s">
        <v>3607</v>
      </c>
      <c r="G2321" s="3" t="str">
        <f>"00801566"</f>
        <v>00801566</v>
      </c>
    </row>
    <row r="2322" spans="1:7" x14ac:dyDescent="0.25">
      <c r="A2322" s="2">
        <v>2321</v>
      </c>
      <c r="B2322" s="3">
        <v>5029</v>
      </c>
      <c r="C2322" s="5" t="s">
        <v>1512</v>
      </c>
      <c r="D2322" s="5" t="s">
        <v>32</v>
      </c>
      <c r="E2322" s="5" t="s">
        <v>87</v>
      </c>
      <c r="F2322" s="3" t="s">
        <v>1513</v>
      </c>
      <c r="G2322" s="3" t="str">
        <f>"00974967"</f>
        <v>00974967</v>
      </c>
    </row>
    <row r="2323" spans="1:7" x14ac:dyDescent="0.25">
      <c r="A2323" s="2">
        <v>2322</v>
      </c>
      <c r="B2323" s="3">
        <v>3294</v>
      </c>
      <c r="C2323" s="5" t="s">
        <v>4481</v>
      </c>
      <c r="D2323" s="5" t="s">
        <v>258</v>
      </c>
      <c r="E2323" s="5" t="s">
        <v>52</v>
      </c>
      <c r="F2323" s="3" t="s">
        <v>4482</v>
      </c>
      <c r="G2323" s="3" t="str">
        <f>"01013237"</f>
        <v>01013237</v>
      </c>
    </row>
    <row r="2324" spans="1:7" x14ac:dyDescent="0.25">
      <c r="A2324" s="2">
        <v>2323</v>
      </c>
      <c r="B2324" s="3">
        <v>10323</v>
      </c>
      <c r="C2324" s="5" t="s">
        <v>1036</v>
      </c>
      <c r="D2324" s="5" t="s">
        <v>588</v>
      </c>
      <c r="E2324" s="5" t="s">
        <v>609</v>
      </c>
      <c r="F2324" s="3" t="s">
        <v>1037</v>
      </c>
      <c r="G2324" s="3" t="str">
        <f>"00983102"</f>
        <v>00983102</v>
      </c>
    </row>
    <row r="2325" spans="1:7" x14ac:dyDescent="0.25">
      <c r="A2325" s="2">
        <v>2324</v>
      </c>
      <c r="B2325" s="3">
        <v>1641</v>
      </c>
      <c r="C2325" s="5" t="s">
        <v>1036</v>
      </c>
      <c r="D2325" s="5" t="s">
        <v>70</v>
      </c>
      <c r="E2325" s="5" t="s">
        <v>129</v>
      </c>
      <c r="F2325" s="3" t="s">
        <v>3165</v>
      </c>
      <c r="G2325" s="3" t="str">
        <f>"00310766"</f>
        <v>00310766</v>
      </c>
    </row>
    <row r="2326" spans="1:7" x14ac:dyDescent="0.25">
      <c r="A2326" s="2">
        <v>2325</v>
      </c>
      <c r="B2326" s="3">
        <v>10935</v>
      </c>
      <c r="C2326" s="5" t="s">
        <v>1036</v>
      </c>
      <c r="D2326" s="5" t="s">
        <v>44</v>
      </c>
      <c r="E2326" s="5" t="s">
        <v>844</v>
      </c>
      <c r="F2326" s="3" t="s">
        <v>4700</v>
      </c>
      <c r="G2326" s="3" t="str">
        <f>"00979320"</f>
        <v>00979320</v>
      </c>
    </row>
    <row r="2327" spans="1:7" x14ac:dyDescent="0.25">
      <c r="A2327" s="2">
        <v>2326</v>
      </c>
      <c r="B2327" s="3">
        <v>2541</v>
      </c>
      <c r="C2327" s="5" t="s">
        <v>1036</v>
      </c>
      <c r="D2327" s="5" t="s">
        <v>1023</v>
      </c>
      <c r="E2327" s="5" t="s">
        <v>52</v>
      </c>
      <c r="F2327" s="3" t="s">
        <v>1740</v>
      </c>
      <c r="G2327" s="3" t="str">
        <f>"00838496"</f>
        <v>00838496</v>
      </c>
    </row>
    <row r="2328" spans="1:7" x14ac:dyDescent="0.25">
      <c r="A2328" s="2">
        <v>2327</v>
      </c>
      <c r="B2328" s="3">
        <v>8018</v>
      </c>
      <c r="C2328" s="5" t="s">
        <v>196</v>
      </c>
      <c r="D2328" s="5" t="s">
        <v>195</v>
      </c>
      <c r="E2328" s="5" t="s">
        <v>129</v>
      </c>
      <c r="F2328" s="3" t="s">
        <v>197</v>
      </c>
      <c r="G2328" s="3" t="str">
        <f>"00810492"</f>
        <v>00810492</v>
      </c>
    </row>
    <row r="2329" spans="1:7" x14ac:dyDescent="0.25">
      <c r="A2329" s="2">
        <v>2328</v>
      </c>
      <c r="B2329" s="3">
        <v>10757</v>
      </c>
      <c r="C2329" s="5" t="s">
        <v>1810</v>
      </c>
      <c r="D2329" s="5" t="s">
        <v>44</v>
      </c>
      <c r="E2329" s="5" t="s">
        <v>1139</v>
      </c>
      <c r="F2329" s="3" t="s">
        <v>1811</v>
      </c>
      <c r="G2329" s="3" t="str">
        <f>"00976444"</f>
        <v>00976444</v>
      </c>
    </row>
    <row r="2330" spans="1:7" x14ac:dyDescent="0.25">
      <c r="A2330" s="2">
        <v>2329</v>
      </c>
      <c r="B2330" s="3">
        <v>234</v>
      </c>
      <c r="C2330" s="5" t="s">
        <v>4338</v>
      </c>
      <c r="D2330" s="5" t="s">
        <v>252</v>
      </c>
      <c r="E2330" s="5" t="s">
        <v>129</v>
      </c>
      <c r="F2330" s="3" t="s">
        <v>4339</v>
      </c>
      <c r="G2330" s="3" t="str">
        <f>"01015157"</f>
        <v>01015157</v>
      </c>
    </row>
    <row r="2331" spans="1:7" x14ac:dyDescent="0.25">
      <c r="A2331" s="2">
        <v>2330</v>
      </c>
      <c r="B2331" s="3">
        <v>3684</v>
      </c>
      <c r="C2331" s="5" t="s">
        <v>2880</v>
      </c>
      <c r="D2331" s="5" t="s">
        <v>11</v>
      </c>
      <c r="E2331" s="5" t="s">
        <v>87</v>
      </c>
      <c r="F2331" s="3" t="s">
        <v>2881</v>
      </c>
      <c r="G2331" s="3" t="str">
        <f>"00670205"</f>
        <v>00670205</v>
      </c>
    </row>
    <row r="2332" spans="1:7" x14ac:dyDescent="0.25">
      <c r="A2332" s="2">
        <v>2331</v>
      </c>
      <c r="B2332" s="3">
        <v>7487</v>
      </c>
      <c r="C2332" s="5" t="s">
        <v>3475</v>
      </c>
      <c r="D2332" s="5" t="s">
        <v>816</v>
      </c>
      <c r="E2332" s="5" t="s">
        <v>87</v>
      </c>
      <c r="F2332" s="3" t="s">
        <v>3476</v>
      </c>
      <c r="G2332" s="3" t="str">
        <f>"00198430"</f>
        <v>00198430</v>
      </c>
    </row>
    <row r="2333" spans="1:7" x14ac:dyDescent="0.25">
      <c r="A2333" s="2">
        <v>2332</v>
      </c>
      <c r="B2333" s="3">
        <v>10734</v>
      </c>
      <c r="C2333" s="5" t="s">
        <v>4408</v>
      </c>
      <c r="D2333" s="5" t="s">
        <v>11</v>
      </c>
      <c r="E2333" s="5" t="s">
        <v>44</v>
      </c>
      <c r="F2333" s="3" t="s">
        <v>4442</v>
      </c>
      <c r="G2333" s="3" t="str">
        <f>"00157687"</f>
        <v>00157687</v>
      </c>
    </row>
    <row r="2334" spans="1:7" x14ac:dyDescent="0.25">
      <c r="A2334" s="2">
        <v>2333</v>
      </c>
      <c r="B2334" s="3">
        <v>8769</v>
      </c>
      <c r="C2334" s="5" t="s">
        <v>4408</v>
      </c>
      <c r="D2334" s="5" t="s">
        <v>129</v>
      </c>
      <c r="E2334" s="5" t="s">
        <v>214</v>
      </c>
      <c r="F2334" s="3" t="s">
        <v>4409</v>
      </c>
      <c r="G2334" s="3" t="str">
        <f>"00980194"</f>
        <v>00980194</v>
      </c>
    </row>
    <row r="2335" spans="1:7" x14ac:dyDescent="0.25">
      <c r="A2335" s="2">
        <v>2334</v>
      </c>
      <c r="B2335" s="3">
        <v>7248</v>
      </c>
      <c r="C2335" s="5" t="s">
        <v>1649</v>
      </c>
      <c r="D2335" s="5" t="s">
        <v>696</v>
      </c>
      <c r="E2335" s="5" t="s">
        <v>951</v>
      </c>
      <c r="F2335" s="3" t="s">
        <v>1650</v>
      </c>
      <c r="G2335" s="3" t="str">
        <f>"00870684"</f>
        <v>00870684</v>
      </c>
    </row>
    <row r="2336" spans="1:7" x14ac:dyDescent="0.25">
      <c r="A2336" s="2">
        <v>2335</v>
      </c>
      <c r="B2336" s="3">
        <v>5414</v>
      </c>
      <c r="C2336" s="5" t="s">
        <v>1123</v>
      </c>
      <c r="D2336" s="5" t="s">
        <v>162</v>
      </c>
      <c r="E2336" s="5" t="s">
        <v>87</v>
      </c>
      <c r="F2336" s="3" t="s">
        <v>1124</v>
      </c>
      <c r="G2336" s="3" t="str">
        <f>"201409006026"</f>
        <v>201409006026</v>
      </c>
    </row>
    <row r="2337" spans="1:7" x14ac:dyDescent="0.25">
      <c r="A2337" s="2">
        <v>2336</v>
      </c>
      <c r="B2337" s="3">
        <v>4049</v>
      </c>
      <c r="C2337" s="5" t="s">
        <v>1345</v>
      </c>
      <c r="D2337" s="5" t="s">
        <v>207</v>
      </c>
      <c r="E2337" s="5" t="s">
        <v>588</v>
      </c>
      <c r="F2337" s="3" t="s">
        <v>1346</v>
      </c>
      <c r="G2337" s="3" t="str">
        <f>"00653586"</f>
        <v>00653586</v>
      </c>
    </row>
    <row r="2338" spans="1:7" x14ac:dyDescent="0.25">
      <c r="A2338" s="2">
        <v>2337</v>
      </c>
      <c r="B2338" s="3">
        <v>4709</v>
      </c>
      <c r="C2338" s="5" t="s">
        <v>697</v>
      </c>
      <c r="D2338" s="5" t="s">
        <v>696</v>
      </c>
      <c r="E2338" s="5" t="s">
        <v>44</v>
      </c>
      <c r="F2338" s="3" t="s">
        <v>698</v>
      </c>
      <c r="G2338" s="3" t="str">
        <f>"00576680"</f>
        <v>00576680</v>
      </c>
    </row>
    <row r="2339" spans="1:7" x14ac:dyDescent="0.25">
      <c r="A2339" s="2">
        <v>2338</v>
      </c>
      <c r="B2339" s="3">
        <v>2698</v>
      </c>
      <c r="C2339" s="5" t="s">
        <v>2158</v>
      </c>
      <c r="D2339" s="5" t="s">
        <v>2157</v>
      </c>
      <c r="E2339" s="5" t="s">
        <v>4847</v>
      </c>
      <c r="F2339" s="3" t="s">
        <v>2159</v>
      </c>
      <c r="G2339" s="3" t="str">
        <f>"01007149"</f>
        <v>01007149</v>
      </c>
    </row>
    <row r="2340" spans="1:7" x14ac:dyDescent="0.25">
      <c r="A2340" s="2">
        <v>2339</v>
      </c>
      <c r="B2340" s="3">
        <v>4041</v>
      </c>
      <c r="C2340" s="5" t="s">
        <v>1305</v>
      </c>
      <c r="D2340" s="5" t="s">
        <v>11</v>
      </c>
      <c r="E2340" s="5" t="s">
        <v>87</v>
      </c>
      <c r="F2340" s="3" t="s">
        <v>1306</v>
      </c>
      <c r="G2340" s="3" t="str">
        <f>"00889831"</f>
        <v>00889831</v>
      </c>
    </row>
    <row r="2341" spans="1:7" x14ac:dyDescent="0.25">
      <c r="A2341" s="2">
        <v>2340</v>
      </c>
      <c r="B2341" s="3">
        <v>9785</v>
      </c>
      <c r="C2341" s="5" t="s">
        <v>2728</v>
      </c>
      <c r="D2341" s="5" t="s">
        <v>52</v>
      </c>
      <c r="E2341" s="5" t="s">
        <v>1549</v>
      </c>
      <c r="F2341" s="3" t="s">
        <v>2729</v>
      </c>
      <c r="G2341" s="3" t="str">
        <f>"00865041"</f>
        <v>00865041</v>
      </c>
    </row>
    <row r="2342" spans="1:7" x14ac:dyDescent="0.25">
      <c r="A2342" s="2">
        <v>2341</v>
      </c>
      <c r="B2342" s="3">
        <v>7507</v>
      </c>
      <c r="C2342" s="5" t="s">
        <v>1030</v>
      </c>
      <c r="D2342" s="5" t="s">
        <v>382</v>
      </c>
      <c r="E2342" s="5" t="s">
        <v>1139</v>
      </c>
      <c r="F2342" s="3">
        <v>709701017</v>
      </c>
      <c r="G2342" s="3" t="str">
        <f>"00440491"</f>
        <v>00440491</v>
      </c>
    </row>
    <row r="2343" spans="1:7" x14ac:dyDescent="0.25">
      <c r="A2343" s="2">
        <v>2342</v>
      </c>
      <c r="B2343" s="3">
        <v>2895</v>
      </c>
      <c r="C2343" s="5" t="s">
        <v>3415</v>
      </c>
      <c r="D2343" s="5" t="s">
        <v>5</v>
      </c>
      <c r="E2343" s="5" t="s">
        <v>252</v>
      </c>
      <c r="F2343" s="3" t="s">
        <v>3416</v>
      </c>
      <c r="G2343" s="3" t="str">
        <f>"00781352"</f>
        <v>00781352</v>
      </c>
    </row>
    <row r="2344" spans="1:7" x14ac:dyDescent="0.25">
      <c r="A2344" s="2">
        <v>2343</v>
      </c>
      <c r="B2344" s="3">
        <v>136</v>
      </c>
      <c r="C2344" s="5" t="s">
        <v>506</v>
      </c>
      <c r="D2344" s="5" t="s">
        <v>87</v>
      </c>
      <c r="E2344" s="5" t="s">
        <v>11</v>
      </c>
      <c r="F2344" s="3" t="s">
        <v>507</v>
      </c>
      <c r="G2344" s="3" t="str">
        <f>"00423481"</f>
        <v>00423481</v>
      </c>
    </row>
    <row r="2345" spans="1:7" x14ac:dyDescent="0.25">
      <c r="A2345" s="2">
        <v>2344</v>
      </c>
      <c r="B2345" s="3">
        <v>7963</v>
      </c>
      <c r="C2345" s="5" t="s">
        <v>2641</v>
      </c>
      <c r="D2345" s="5" t="s">
        <v>14</v>
      </c>
      <c r="E2345" s="5" t="s">
        <v>284</v>
      </c>
      <c r="F2345" s="3">
        <v>25001610</v>
      </c>
      <c r="G2345" s="3" t="str">
        <f>"01015106"</f>
        <v>01015106</v>
      </c>
    </row>
    <row r="2346" spans="1:7" x14ac:dyDescent="0.25">
      <c r="A2346" s="2">
        <v>2345</v>
      </c>
      <c r="B2346" s="3">
        <v>6231</v>
      </c>
      <c r="C2346" s="5" t="s">
        <v>3719</v>
      </c>
      <c r="D2346" s="5" t="s">
        <v>32</v>
      </c>
      <c r="E2346" s="5" t="s">
        <v>11</v>
      </c>
      <c r="F2346" s="3" t="s">
        <v>3720</v>
      </c>
      <c r="G2346" s="3" t="str">
        <f>"01017625"</f>
        <v>01017625</v>
      </c>
    </row>
    <row r="2347" spans="1:7" x14ac:dyDescent="0.25">
      <c r="A2347" s="2">
        <v>2346</v>
      </c>
      <c r="B2347" s="3">
        <v>2569</v>
      </c>
      <c r="C2347" s="5" t="s">
        <v>3057</v>
      </c>
      <c r="D2347" s="5" t="s">
        <v>113</v>
      </c>
      <c r="E2347" s="5" t="s">
        <v>87</v>
      </c>
      <c r="F2347" s="3" t="s">
        <v>3058</v>
      </c>
      <c r="G2347" s="3" t="str">
        <f>"00939612"</f>
        <v>00939612</v>
      </c>
    </row>
    <row r="2348" spans="1:7" x14ac:dyDescent="0.25">
      <c r="A2348" s="2">
        <v>2347</v>
      </c>
      <c r="B2348" s="3">
        <v>5003</v>
      </c>
      <c r="C2348" s="5" t="s">
        <v>3057</v>
      </c>
      <c r="D2348" s="5" t="s">
        <v>32</v>
      </c>
      <c r="E2348" s="5" t="s">
        <v>207</v>
      </c>
      <c r="F2348" s="3" t="s">
        <v>3194</v>
      </c>
      <c r="G2348" s="3" t="str">
        <f>"00981096"</f>
        <v>00981096</v>
      </c>
    </row>
    <row r="2349" spans="1:7" x14ac:dyDescent="0.25">
      <c r="A2349" s="2">
        <v>2348</v>
      </c>
      <c r="B2349" s="3">
        <v>11709</v>
      </c>
      <c r="C2349" s="5" t="s">
        <v>4298</v>
      </c>
      <c r="D2349" s="5" t="s">
        <v>366</v>
      </c>
      <c r="E2349" s="5" t="s">
        <v>27</v>
      </c>
      <c r="F2349" s="3" t="s">
        <v>4299</v>
      </c>
      <c r="G2349" s="3" t="str">
        <f>"01013084"</f>
        <v>01013084</v>
      </c>
    </row>
    <row r="2350" spans="1:7" x14ac:dyDescent="0.25">
      <c r="A2350" s="2">
        <v>2349</v>
      </c>
      <c r="B2350" s="3">
        <v>5233</v>
      </c>
      <c r="C2350" s="5" t="s">
        <v>1799</v>
      </c>
      <c r="D2350" s="5" t="s">
        <v>1798</v>
      </c>
      <c r="E2350" s="5" t="s">
        <v>44</v>
      </c>
      <c r="F2350" s="3" t="s">
        <v>1800</v>
      </c>
      <c r="G2350" s="3" t="str">
        <f>"00986466"</f>
        <v>00986466</v>
      </c>
    </row>
    <row r="2351" spans="1:7" x14ac:dyDescent="0.25">
      <c r="A2351" s="2">
        <v>2350</v>
      </c>
      <c r="B2351" s="3">
        <v>1635</v>
      </c>
      <c r="C2351" s="5" t="s">
        <v>1051</v>
      </c>
      <c r="D2351" s="5" t="s">
        <v>52</v>
      </c>
      <c r="E2351" s="5" t="s">
        <v>5</v>
      </c>
      <c r="F2351" s="3" t="s">
        <v>1052</v>
      </c>
      <c r="G2351" s="3" t="str">
        <f>"00888230"</f>
        <v>00888230</v>
      </c>
    </row>
    <row r="2352" spans="1:7" x14ac:dyDescent="0.25">
      <c r="A2352" s="2">
        <v>2351</v>
      </c>
      <c r="B2352" s="3">
        <v>10798</v>
      </c>
      <c r="C2352" s="5" t="s">
        <v>53</v>
      </c>
      <c r="D2352" s="5" t="s">
        <v>52</v>
      </c>
      <c r="E2352" s="5" t="s">
        <v>375</v>
      </c>
      <c r="F2352" s="3" t="s">
        <v>54</v>
      </c>
      <c r="G2352" s="3" t="str">
        <f>"201412001639"</f>
        <v>201412001639</v>
      </c>
    </row>
    <row r="2353" spans="1:7" x14ac:dyDescent="0.25">
      <c r="A2353" s="2">
        <v>2352</v>
      </c>
      <c r="B2353" s="3">
        <v>8908</v>
      </c>
      <c r="C2353" s="5" t="s">
        <v>1690</v>
      </c>
      <c r="D2353" s="5" t="s">
        <v>52</v>
      </c>
      <c r="E2353" s="5" t="s">
        <v>11</v>
      </c>
      <c r="F2353" s="3" t="s">
        <v>2563</v>
      </c>
      <c r="G2353" s="3" t="str">
        <f>"00221192"</f>
        <v>00221192</v>
      </c>
    </row>
    <row r="2354" spans="1:7" x14ac:dyDescent="0.25">
      <c r="A2354" s="2">
        <v>2353</v>
      </c>
      <c r="B2354" s="3">
        <v>9119</v>
      </c>
      <c r="C2354" s="5" t="s">
        <v>1690</v>
      </c>
      <c r="D2354" s="5" t="s">
        <v>94</v>
      </c>
      <c r="E2354" s="5" t="s">
        <v>11</v>
      </c>
      <c r="F2354" s="3" t="s">
        <v>1691</v>
      </c>
      <c r="G2354" s="3" t="str">
        <f>"00221178"</f>
        <v>00221178</v>
      </c>
    </row>
    <row r="2355" spans="1:7" x14ac:dyDescent="0.25">
      <c r="A2355" s="2">
        <v>2354</v>
      </c>
      <c r="B2355" s="3">
        <v>5420</v>
      </c>
      <c r="C2355" s="5" t="s">
        <v>3040</v>
      </c>
      <c r="D2355" s="5" t="s">
        <v>558</v>
      </c>
      <c r="E2355" s="5" t="s">
        <v>1980</v>
      </c>
      <c r="F2355" s="3" t="s">
        <v>3041</v>
      </c>
      <c r="G2355" s="3" t="str">
        <f>"00442897"</f>
        <v>00442897</v>
      </c>
    </row>
    <row r="2356" spans="1:7" x14ac:dyDescent="0.25">
      <c r="A2356" s="2">
        <v>2355</v>
      </c>
      <c r="B2356" s="3">
        <v>349</v>
      </c>
      <c r="C2356" s="5" t="s">
        <v>1173</v>
      </c>
      <c r="D2356" s="5" t="s">
        <v>1172</v>
      </c>
      <c r="E2356" s="5" t="s">
        <v>91</v>
      </c>
      <c r="F2356" s="3" t="s">
        <v>1174</v>
      </c>
      <c r="G2356" s="3" t="str">
        <f>"201511024031"</f>
        <v>201511024031</v>
      </c>
    </row>
    <row r="2357" spans="1:7" x14ac:dyDescent="0.25">
      <c r="A2357" s="2">
        <v>2356</v>
      </c>
      <c r="B2357" s="3">
        <v>4860</v>
      </c>
      <c r="C2357" s="5" t="s">
        <v>831</v>
      </c>
      <c r="D2357" s="5" t="s">
        <v>830</v>
      </c>
      <c r="E2357" s="5" t="s">
        <v>87</v>
      </c>
      <c r="F2357" s="3" t="s">
        <v>832</v>
      </c>
      <c r="G2357" s="3" t="str">
        <f>"00970695"</f>
        <v>00970695</v>
      </c>
    </row>
    <row r="2358" spans="1:7" x14ac:dyDescent="0.25">
      <c r="A2358" s="2">
        <v>2357</v>
      </c>
      <c r="B2358" s="3">
        <v>1717</v>
      </c>
      <c r="C2358" s="5" t="s">
        <v>2438</v>
      </c>
      <c r="D2358" s="5" t="s">
        <v>126</v>
      </c>
      <c r="E2358" s="5" t="s">
        <v>252</v>
      </c>
      <c r="F2358" s="3" t="s">
        <v>2439</v>
      </c>
      <c r="G2358" s="3" t="str">
        <f>"00983576"</f>
        <v>00983576</v>
      </c>
    </row>
    <row r="2359" spans="1:7" x14ac:dyDescent="0.25">
      <c r="A2359" s="2">
        <v>2358</v>
      </c>
      <c r="B2359" s="3">
        <v>8702</v>
      </c>
      <c r="C2359" s="5" t="s">
        <v>3182</v>
      </c>
      <c r="D2359" s="5" t="s">
        <v>84</v>
      </c>
      <c r="E2359" s="5" t="s">
        <v>11</v>
      </c>
      <c r="F2359" s="3" t="s">
        <v>3183</v>
      </c>
      <c r="G2359" s="3" t="str">
        <f>"00248350"</f>
        <v>00248350</v>
      </c>
    </row>
    <row r="2360" spans="1:7" x14ac:dyDescent="0.25">
      <c r="A2360" s="2">
        <v>2359</v>
      </c>
      <c r="B2360" s="3">
        <v>7493</v>
      </c>
      <c r="C2360" s="5" t="s">
        <v>3559</v>
      </c>
      <c r="D2360" s="5" t="s">
        <v>184</v>
      </c>
      <c r="E2360" s="5" t="s">
        <v>44</v>
      </c>
      <c r="F2360" s="3" t="s">
        <v>3560</v>
      </c>
      <c r="G2360" s="3" t="str">
        <f>"01013706"</f>
        <v>01013706</v>
      </c>
    </row>
    <row r="2361" spans="1:7" x14ac:dyDescent="0.25">
      <c r="A2361" s="2">
        <v>2360</v>
      </c>
      <c r="B2361" s="3">
        <v>192</v>
      </c>
      <c r="C2361" s="5" t="s">
        <v>3135</v>
      </c>
      <c r="D2361" s="5" t="s">
        <v>3134</v>
      </c>
      <c r="E2361" s="5" t="s">
        <v>4873</v>
      </c>
      <c r="F2361" s="3" t="s">
        <v>3136</v>
      </c>
      <c r="G2361" s="3" t="str">
        <f>"00354152"</f>
        <v>00354152</v>
      </c>
    </row>
    <row r="2362" spans="1:7" x14ac:dyDescent="0.25">
      <c r="A2362" s="2">
        <v>2361</v>
      </c>
      <c r="B2362" s="3">
        <v>11859</v>
      </c>
      <c r="C2362" s="5" t="s">
        <v>3970</v>
      </c>
      <c r="D2362" s="5" t="s">
        <v>123</v>
      </c>
      <c r="E2362" s="5" t="s">
        <v>284</v>
      </c>
      <c r="F2362" s="3" t="s">
        <v>3971</v>
      </c>
      <c r="G2362" s="3" t="str">
        <f>"00983990"</f>
        <v>00983990</v>
      </c>
    </row>
    <row r="2363" spans="1:7" x14ac:dyDescent="0.25">
      <c r="A2363" s="2">
        <v>2362</v>
      </c>
      <c r="B2363" s="3">
        <v>7876</v>
      </c>
      <c r="C2363" s="5" t="s">
        <v>556</v>
      </c>
      <c r="D2363" s="5" t="s">
        <v>11</v>
      </c>
      <c r="E2363" s="5" t="s">
        <v>14</v>
      </c>
      <c r="F2363" s="3">
        <v>710333014</v>
      </c>
      <c r="G2363" s="3" t="str">
        <f>"00447445"</f>
        <v>00447445</v>
      </c>
    </row>
    <row r="2364" spans="1:7" x14ac:dyDescent="0.25">
      <c r="A2364" s="2">
        <v>2363</v>
      </c>
      <c r="B2364" s="3">
        <v>8865</v>
      </c>
      <c r="C2364" s="5" t="s">
        <v>556</v>
      </c>
      <c r="D2364" s="5" t="s">
        <v>555</v>
      </c>
      <c r="E2364" s="5" t="s">
        <v>52</v>
      </c>
      <c r="F2364" s="3" t="s">
        <v>557</v>
      </c>
      <c r="G2364" s="3" t="str">
        <f>"00986340"</f>
        <v>00986340</v>
      </c>
    </row>
    <row r="2365" spans="1:7" x14ac:dyDescent="0.25">
      <c r="A2365" s="2">
        <v>2364</v>
      </c>
      <c r="B2365" s="3">
        <v>4108</v>
      </c>
      <c r="C2365" s="5" t="s">
        <v>3930</v>
      </c>
      <c r="D2365" s="5" t="s">
        <v>545</v>
      </c>
      <c r="E2365" s="5" t="s">
        <v>14</v>
      </c>
      <c r="F2365" s="3" t="s">
        <v>3931</v>
      </c>
      <c r="G2365" s="3" t="str">
        <f>"01013724"</f>
        <v>01013724</v>
      </c>
    </row>
    <row r="2366" spans="1:7" x14ac:dyDescent="0.25">
      <c r="A2366" s="2">
        <v>2365</v>
      </c>
      <c r="B2366" s="3">
        <v>3706</v>
      </c>
      <c r="C2366" s="5" t="s">
        <v>1415</v>
      </c>
      <c r="D2366" s="5" t="s">
        <v>1414</v>
      </c>
      <c r="E2366" s="5" t="s">
        <v>4822</v>
      </c>
      <c r="F2366" s="3" t="s">
        <v>1416</v>
      </c>
      <c r="G2366" s="3" t="str">
        <f>"00987186"</f>
        <v>00987186</v>
      </c>
    </row>
    <row r="2367" spans="1:7" x14ac:dyDescent="0.25">
      <c r="A2367" s="2">
        <v>2366</v>
      </c>
      <c r="B2367" s="3">
        <v>8052</v>
      </c>
      <c r="C2367" s="5" t="s">
        <v>2666</v>
      </c>
      <c r="D2367" s="5" t="s">
        <v>2665</v>
      </c>
      <c r="E2367" s="5" t="s">
        <v>44</v>
      </c>
      <c r="F2367" s="3" t="s">
        <v>2667</v>
      </c>
      <c r="G2367" s="3" t="str">
        <f>"00906247"</f>
        <v>00906247</v>
      </c>
    </row>
    <row r="2368" spans="1:7" x14ac:dyDescent="0.25">
      <c r="A2368" s="2">
        <v>2367</v>
      </c>
      <c r="B2368" s="3">
        <v>9187</v>
      </c>
      <c r="C2368" s="5" t="s">
        <v>3781</v>
      </c>
      <c r="D2368" s="5" t="s">
        <v>84</v>
      </c>
      <c r="E2368" s="5" t="s">
        <v>11</v>
      </c>
      <c r="F2368" s="3" t="s">
        <v>3782</v>
      </c>
      <c r="G2368" s="3" t="str">
        <f>"00777363"</f>
        <v>00777363</v>
      </c>
    </row>
    <row r="2369" spans="1:7" x14ac:dyDescent="0.25">
      <c r="A2369" s="2">
        <v>2368</v>
      </c>
      <c r="B2369" s="3">
        <v>459</v>
      </c>
      <c r="C2369" s="5" t="s">
        <v>1627</v>
      </c>
      <c r="D2369" s="5" t="s">
        <v>129</v>
      </c>
      <c r="E2369" s="5" t="s">
        <v>52</v>
      </c>
      <c r="F2369" s="3" t="s">
        <v>1628</v>
      </c>
      <c r="G2369" s="3" t="str">
        <f>"00974755"</f>
        <v>00974755</v>
      </c>
    </row>
    <row r="2370" spans="1:7" x14ac:dyDescent="0.25">
      <c r="A2370" s="2">
        <v>2369</v>
      </c>
      <c r="B2370" s="3">
        <v>2880</v>
      </c>
      <c r="C2370" s="5" t="s">
        <v>1150</v>
      </c>
      <c r="D2370" s="5" t="s">
        <v>1149</v>
      </c>
      <c r="E2370" s="5" t="s">
        <v>91</v>
      </c>
      <c r="F2370" s="3" t="s">
        <v>1151</v>
      </c>
      <c r="G2370" s="3" t="str">
        <f>"00984768"</f>
        <v>00984768</v>
      </c>
    </row>
    <row r="2371" spans="1:7" x14ac:dyDescent="0.25">
      <c r="A2371" s="2">
        <v>2370</v>
      </c>
      <c r="B2371" s="3">
        <v>4025</v>
      </c>
      <c r="C2371" s="5" t="s">
        <v>1188</v>
      </c>
      <c r="D2371" s="5" t="s">
        <v>126</v>
      </c>
      <c r="E2371" s="5" t="s">
        <v>38</v>
      </c>
      <c r="F2371" s="3" t="s">
        <v>3140</v>
      </c>
      <c r="G2371" s="3" t="str">
        <f>"00550957"</f>
        <v>00550957</v>
      </c>
    </row>
    <row r="2372" spans="1:7" x14ac:dyDescent="0.25">
      <c r="A2372" s="2">
        <v>2371</v>
      </c>
      <c r="B2372" s="3">
        <v>2551</v>
      </c>
      <c r="C2372" s="5" t="s">
        <v>1188</v>
      </c>
      <c r="D2372" s="5" t="s">
        <v>1187</v>
      </c>
      <c r="E2372" s="5" t="s">
        <v>667</v>
      </c>
      <c r="F2372" s="3" t="s">
        <v>1189</v>
      </c>
      <c r="G2372" s="3" t="str">
        <f>"01013235"</f>
        <v>01013235</v>
      </c>
    </row>
    <row r="2373" spans="1:7" x14ac:dyDescent="0.25">
      <c r="A2373" s="2">
        <v>2372</v>
      </c>
      <c r="B2373" s="3">
        <v>4909</v>
      </c>
      <c r="C2373" s="5" t="s">
        <v>3001</v>
      </c>
      <c r="D2373" s="5" t="s">
        <v>18</v>
      </c>
      <c r="E2373" s="5" t="s">
        <v>44</v>
      </c>
      <c r="F2373" s="3" t="s">
        <v>3002</v>
      </c>
      <c r="G2373" s="3" t="str">
        <f>"00497794"</f>
        <v>00497794</v>
      </c>
    </row>
    <row r="2374" spans="1:7" x14ac:dyDescent="0.25">
      <c r="A2374" s="2">
        <v>2373</v>
      </c>
      <c r="B2374" s="3">
        <v>8206</v>
      </c>
      <c r="C2374" s="5" t="s">
        <v>1899</v>
      </c>
      <c r="D2374" s="5" t="s">
        <v>94</v>
      </c>
      <c r="E2374" s="5" t="s">
        <v>44</v>
      </c>
      <c r="F2374" s="3" t="s">
        <v>1900</v>
      </c>
      <c r="G2374" s="3" t="str">
        <f>"00976480"</f>
        <v>00976480</v>
      </c>
    </row>
    <row r="2375" spans="1:7" x14ac:dyDescent="0.25">
      <c r="A2375" s="2">
        <v>2374</v>
      </c>
      <c r="B2375" s="3">
        <v>5326</v>
      </c>
      <c r="C2375" s="5" t="s">
        <v>1971</v>
      </c>
      <c r="D2375" s="5" t="s">
        <v>32</v>
      </c>
      <c r="E2375" s="5" t="s">
        <v>5</v>
      </c>
      <c r="F2375" s="3" t="s">
        <v>3245</v>
      </c>
      <c r="G2375" s="3" t="str">
        <f>"00934369"</f>
        <v>00934369</v>
      </c>
    </row>
    <row r="2376" spans="1:7" x14ac:dyDescent="0.25">
      <c r="A2376" s="2">
        <v>2375</v>
      </c>
      <c r="B2376" s="3">
        <v>7661</v>
      </c>
      <c r="C2376" s="5" t="s">
        <v>1971</v>
      </c>
      <c r="D2376" s="5" t="s">
        <v>87</v>
      </c>
      <c r="E2376" s="5" t="s">
        <v>424</v>
      </c>
      <c r="F2376" s="3" t="s">
        <v>1972</v>
      </c>
      <c r="G2376" s="3" t="str">
        <f>"00933700"</f>
        <v>00933700</v>
      </c>
    </row>
    <row r="2377" spans="1:7" x14ac:dyDescent="0.25">
      <c r="A2377" s="2">
        <v>2376</v>
      </c>
      <c r="B2377" s="3">
        <v>2723</v>
      </c>
      <c r="C2377" s="5" t="s">
        <v>3363</v>
      </c>
      <c r="D2377" s="5" t="s">
        <v>3362</v>
      </c>
      <c r="E2377" s="5" t="s">
        <v>545</v>
      </c>
      <c r="F2377" s="3" t="s">
        <v>3364</v>
      </c>
      <c r="G2377" s="3" t="str">
        <f>"00690273"</f>
        <v>00690273</v>
      </c>
    </row>
    <row r="2378" spans="1:7" x14ac:dyDescent="0.25">
      <c r="A2378" s="2">
        <v>2377</v>
      </c>
      <c r="B2378" s="3">
        <v>11640</v>
      </c>
      <c r="C2378" s="5" t="s">
        <v>1541</v>
      </c>
      <c r="D2378" s="5" t="s">
        <v>14</v>
      </c>
      <c r="E2378" s="5" t="s">
        <v>91</v>
      </c>
      <c r="F2378" s="3" t="s">
        <v>1542</v>
      </c>
      <c r="G2378" s="3" t="str">
        <f>"00983105"</f>
        <v>00983105</v>
      </c>
    </row>
    <row r="2379" spans="1:7" x14ac:dyDescent="0.25">
      <c r="A2379" s="2">
        <v>2378</v>
      </c>
      <c r="B2379" s="3">
        <v>8591</v>
      </c>
      <c r="C2379" s="5" t="s">
        <v>4655</v>
      </c>
      <c r="D2379" s="5" t="s">
        <v>457</v>
      </c>
      <c r="E2379" s="5" t="s">
        <v>129</v>
      </c>
      <c r="F2379" s="3" t="s">
        <v>4656</v>
      </c>
      <c r="G2379" s="3" t="str">
        <f>"00473532"</f>
        <v>00473532</v>
      </c>
    </row>
    <row r="2380" spans="1:7" x14ac:dyDescent="0.25">
      <c r="A2380" s="2">
        <v>2379</v>
      </c>
      <c r="B2380" s="3">
        <v>5480</v>
      </c>
      <c r="C2380" s="5" t="s">
        <v>4605</v>
      </c>
      <c r="D2380" s="5" t="s">
        <v>87</v>
      </c>
      <c r="E2380" s="5" t="s">
        <v>214</v>
      </c>
      <c r="F2380" s="3" t="s">
        <v>4606</v>
      </c>
      <c r="G2380" s="3" t="str">
        <f>"00977349"</f>
        <v>00977349</v>
      </c>
    </row>
    <row r="2381" spans="1:7" x14ac:dyDescent="0.25">
      <c r="A2381" s="2">
        <v>2380</v>
      </c>
      <c r="B2381" s="3">
        <v>12854</v>
      </c>
      <c r="C2381" s="5" t="s">
        <v>1168</v>
      </c>
      <c r="D2381" s="5" t="s">
        <v>198</v>
      </c>
      <c r="E2381" s="5" t="s">
        <v>2033</v>
      </c>
      <c r="F2381" s="3" t="s">
        <v>1169</v>
      </c>
      <c r="G2381" s="3" t="str">
        <f>"01013754"</f>
        <v>01013754</v>
      </c>
    </row>
    <row r="2382" spans="1:7" x14ac:dyDescent="0.25">
      <c r="A2382" s="2">
        <v>2381</v>
      </c>
      <c r="B2382" s="3">
        <v>202</v>
      </c>
      <c r="C2382" s="5" t="s">
        <v>1980</v>
      </c>
      <c r="D2382" s="5" t="s">
        <v>87</v>
      </c>
      <c r="E2382" s="5" t="s">
        <v>1023</v>
      </c>
      <c r="F2382" s="3" t="s">
        <v>1981</v>
      </c>
      <c r="G2382" s="3" t="str">
        <f>"00973186"</f>
        <v>00973186</v>
      </c>
    </row>
    <row r="2383" spans="1:7" x14ac:dyDescent="0.25">
      <c r="A2383" s="2">
        <v>2382</v>
      </c>
      <c r="B2383" s="3">
        <v>10061</v>
      </c>
      <c r="C2383" s="5" t="s">
        <v>4612</v>
      </c>
      <c r="D2383" s="5" t="s">
        <v>38</v>
      </c>
      <c r="E2383" s="5" t="s">
        <v>11</v>
      </c>
      <c r="F2383" s="3" t="s">
        <v>4613</v>
      </c>
      <c r="G2383" s="3" t="str">
        <f>"00722524"</f>
        <v>00722524</v>
      </c>
    </row>
    <row r="2384" spans="1:7" x14ac:dyDescent="0.25">
      <c r="A2384" s="2">
        <v>2383</v>
      </c>
      <c r="B2384" s="3">
        <v>3570</v>
      </c>
      <c r="C2384" s="5" t="s">
        <v>2388</v>
      </c>
      <c r="D2384" s="5" t="s">
        <v>2387</v>
      </c>
      <c r="E2384" s="5" t="s">
        <v>82</v>
      </c>
      <c r="F2384" s="3" t="s">
        <v>2389</v>
      </c>
      <c r="G2384" s="3" t="str">
        <f>"00183843"</f>
        <v>00183843</v>
      </c>
    </row>
    <row r="2385" spans="1:7" x14ac:dyDescent="0.25">
      <c r="A2385" s="2">
        <v>2384</v>
      </c>
      <c r="B2385" s="3">
        <v>7412</v>
      </c>
      <c r="C2385" s="5" t="s">
        <v>3525</v>
      </c>
      <c r="D2385" s="5" t="s">
        <v>622</v>
      </c>
      <c r="E2385" s="5" t="s">
        <v>38</v>
      </c>
      <c r="F2385" s="3" t="s">
        <v>3526</v>
      </c>
      <c r="G2385" s="3" t="str">
        <f>"00983350"</f>
        <v>00983350</v>
      </c>
    </row>
    <row r="2386" spans="1:7" x14ac:dyDescent="0.25">
      <c r="A2386" s="2">
        <v>2385</v>
      </c>
      <c r="B2386" s="3">
        <v>6937</v>
      </c>
      <c r="C2386" s="5" t="s">
        <v>282</v>
      </c>
      <c r="D2386" s="5" t="s">
        <v>113</v>
      </c>
      <c r="E2386" s="5" t="s">
        <v>87</v>
      </c>
      <c r="F2386" s="3" t="s">
        <v>283</v>
      </c>
      <c r="G2386" s="3" t="str">
        <f>"01015640"</f>
        <v>01015640</v>
      </c>
    </row>
    <row r="2387" spans="1:7" x14ac:dyDescent="0.25">
      <c r="A2387" s="2">
        <v>2386</v>
      </c>
      <c r="B2387" s="3">
        <v>7566</v>
      </c>
      <c r="C2387" s="5" t="s">
        <v>660</v>
      </c>
      <c r="D2387" s="5" t="s">
        <v>24</v>
      </c>
      <c r="E2387" s="5" t="s">
        <v>41</v>
      </c>
      <c r="F2387" s="3" t="s">
        <v>661</v>
      </c>
      <c r="G2387" s="3" t="str">
        <f>"01017145"</f>
        <v>01017145</v>
      </c>
    </row>
    <row r="2388" spans="1:7" x14ac:dyDescent="0.25">
      <c r="A2388" s="2">
        <v>2387</v>
      </c>
      <c r="B2388" s="3">
        <v>4107</v>
      </c>
      <c r="C2388" s="5" t="s">
        <v>1892</v>
      </c>
      <c r="D2388" s="5" t="s">
        <v>1891</v>
      </c>
      <c r="E2388" s="5" t="s">
        <v>91</v>
      </c>
      <c r="F2388" s="3" t="s">
        <v>1893</v>
      </c>
      <c r="G2388" s="3" t="str">
        <f>"201502001978"</f>
        <v>201502001978</v>
      </c>
    </row>
    <row r="2389" spans="1:7" x14ac:dyDescent="0.25">
      <c r="A2389" s="2">
        <v>2388</v>
      </c>
      <c r="B2389" s="3">
        <v>11525</v>
      </c>
      <c r="C2389" s="5" t="s">
        <v>1710</v>
      </c>
      <c r="D2389" s="5" t="s">
        <v>810</v>
      </c>
      <c r="E2389" s="5" t="s">
        <v>284</v>
      </c>
      <c r="F2389" s="3" t="s">
        <v>1711</v>
      </c>
      <c r="G2389" s="3" t="str">
        <f>"00984625"</f>
        <v>00984625</v>
      </c>
    </row>
    <row r="2390" spans="1:7" x14ac:dyDescent="0.25">
      <c r="A2390" s="2">
        <v>2389</v>
      </c>
      <c r="B2390" s="3">
        <v>4289</v>
      </c>
      <c r="C2390" s="5" t="s">
        <v>827</v>
      </c>
      <c r="D2390" s="5" t="s">
        <v>14</v>
      </c>
      <c r="E2390" s="5" t="s">
        <v>87</v>
      </c>
      <c r="F2390" s="3">
        <v>709360011</v>
      </c>
      <c r="G2390" s="3" t="str">
        <f>"01015718"</f>
        <v>01015718</v>
      </c>
    </row>
    <row r="2391" spans="1:7" x14ac:dyDescent="0.25">
      <c r="A2391" s="2">
        <v>2390</v>
      </c>
      <c r="B2391" s="3">
        <v>5572</v>
      </c>
      <c r="C2391" s="5" t="s">
        <v>543</v>
      </c>
      <c r="D2391" s="5" t="s">
        <v>542</v>
      </c>
      <c r="E2391" s="5" t="s">
        <v>135</v>
      </c>
      <c r="F2391" s="3" t="s">
        <v>544</v>
      </c>
      <c r="G2391" s="3" t="str">
        <f>"00980998"</f>
        <v>00980998</v>
      </c>
    </row>
    <row r="2392" spans="1:7" x14ac:dyDescent="0.25">
      <c r="A2392" s="2">
        <v>2391</v>
      </c>
      <c r="B2392" s="3">
        <v>11592</v>
      </c>
      <c r="C2392" s="5" t="s">
        <v>2237</v>
      </c>
      <c r="D2392" s="5" t="s">
        <v>844</v>
      </c>
      <c r="E2392" s="5" t="s">
        <v>5</v>
      </c>
      <c r="F2392" s="3" t="s">
        <v>2238</v>
      </c>
      <c r="G2392" s="3" t="str">
        <f>"00892606"</f>
        <v>00892606</v>
      </c>
    </row>
  </sheetData>
  <autoFilter ref="B1:H2392"/>
  <sortState ref="B2:G2392">
    <sortCondition ref="C2:C2392"/>
    <sortCondition ref="D2:D2392"/>
    <sortCondition ref="E2:E239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 ΕΚΠΑΙΔΕΥΣΗΣ ΓΙΑ ΥΓΕΙΟΝ ΕΞΕΤ,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Kallergi Elpidofora</dc:creator>
  <cp:lastModifiedBy>ASEP</cp:lastModifiedBy>
  <dcterms:created xsi:type="dcterms:W3CDTF">2025-09-08T10:09:41Z</dcterms:created>
  <dcterms:modified xsi:type="dcterms:W3CDTF">2025-09-12T04:24:04Z</dcterms:modified>
</cp:coreProperties>
</file>